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CC Website\WYSIWYG - 2022\Clipart\"/>
    </mc:Choice>
  </mc:AlternateContent>
  <workbookProtection workbookAlgorithmName="SHA-512" workbookHashValue="wsM4QFOFW+/EcOlXGhBcysQPOcNRx/RqCSPU1snMPYTpprbZclG9/WVwHJCZHEnFTuHYMec6aBqQVvEACy8ZoA==" workbookSaltValue="QUToryiy5C8vKmUlhtkpGQ==" workbookSpinCount="100000" lockStructure="1"/>
  <bookViews>
    <workbookView xWindow="0" yWindow="0" windowWidth="2172" windowHeight="0" tabRatio="731" firstSheet="2" activeTab="2"/>
  </bookViews>
  <sheets>
    <sheet name="Sheet1" sheetId="9" state="hidden" r:id="rId1"/>
    <sheet name=".. How it Works .." sheetId="30" r:id="rId2"/>
    <sheet name="..  Individual and Business  .." sheetId="22" r:id="rId3"/>
  </sheets>
  <definedNames>
    <definedName name="_xlnm.Print_Area" localSheetId="2">'..  Individual and Business  ..'!$A$1:$AB$47</definedName>
    <definedName name="_xlnm.Print_Area" localSheetId="1">'.. How it Works ..'!$A$1:$Z$43</definedName>
  </definedNames>
  <calcPr calcId="152511" fullPrecision="0"/>
</workbook>
</file>

<file path=xl/calcChain.xml><?xml version="1.0" encoding="utf-8"?>
<calcChain xmlns="http://schemas.openxmlformats.org/spreadsheetml/2006/main">
  <c r="G404" i="22" l="1"/>
  <c r="L421" i="22"/>
  <c r="O417" i="22" l="1"/>
  <c r="L420" i="22"/>
  <c r="L422" i="22"/>
  <c r="Q424" i="22"/>
  <c r="Q426" i="22"/>
  <c r="Q425" i="22"/>
  <c r="Q423" i="22"/>
  <c r="Q422" i="22" l="1"/>
  <c r="Q421" i="22"/>
  <c r="Q428" i="22" l="1"/>
  <c r="Q420" i="22" l="1"/>
  <c r="Q419" i="22"/>
  <c r="R450" i="22" l="1"/>
  <c r="P450" i="22"/>
  <c r="U406" i="22" l="1"/>
  <c r="L415" i="22" l="1"/>
  <c r="C433" i="22" l="1"/>
  <c r="C24" i="22" l="1"/>
  <c r="N417" i="22" l="1"/>
  <c r="Q417" i="22" l="1"/>
  <c r="Q427" i="22"/>
  <c r="Q418" i="22" l="1"/>
  <c r="V391" i="30" l="1"/>
  <c r="W391" i="30" s="1"/>
  <c r="V390" i="30"/>
  <c r="W390" i="30" s="1"/>
  <c r="W387" i="30"/>
  <c r="W386" i="30"/>
  <c r="V386" i="30"/>
  <c r="W384" i="30"/>
  <c r="V384" i="30"/>
  <c r="W383" i="30"/>
  <c r="V383" i="30"/>
  <c r="W382" i="30"/>
  <c r="V382" i="30"/>
  <c r="K380" i="30"/>
  <c r="C380" i="30"/>
  <c r="AM379" i="30"/>
  <c r="AL379" i="30"/>
  <c r="AM378" i="30"/>
  <c r="AL378" i="30"/>
  <c r="V378" i="30"/>
  <c r="O378" i="30"/>
  <c r="P378" i="30" s="1"/>
  <c r="C378" i="30"/>
  <c r="AM377" i="30"/>
  <c r="AL377" i="30"/>
  <c r="W377" i="30"/>
  <c r="V377" i="30"/>
  <c r="C377" i="30"/>
  <c r="C376" i="30"/>
  <c r="AM375" i="30"/>
  <c r="AL375" i="30"/>
  <c r="C375" i="30"/>
  <c r="AL374" i="30"/>
  <c r="AM374" i="30" s="1"/>
  <c r="W374" i="30"/>
  <c r="C374" i="30"/>
  <c r="AL373" i="30"/>
  <c r="AM373" i="30" s="1"/>
  <c r="V373" i="30"/>
  <c r="W373" i="30" s="1"/>
  <c r="C373" i="30"/>
  <c r="C372" i="30"/>
  <c r="C371" i="30"/>
  <c r="W370" i="30"/>
  <c r="V370" i="30"/>
  <c r="C370" i="30"/>
  <c r="V369" i="30"/>
  <c r="W369" i="30" s="1"/>
  <c r="C369" i="30"/>
  <c r="AA367" i="30"/>
  <c r="K367" i="30"/>
  <c r="AL365" i="30"/>
  <c r="AE365" i="30"/>
  <c r="AF365" i="30" s="1"/>
  <c r="V365" i="30"/>
  <c r="W365" i="30" s="1"/>
  <c r="O365" i="30"/>
  <c r="P365" i="30" s="1"/>
  <c r="V364" i="30"/>
  <c r="W364" i="30" s="1"/>
  <c r="O364" i="30"/>
  <c r="P364" i="30" s="1"/>
  <c r="AE361" i="30"/>
  <c r="AF361" i="30" s="1"/>
  <c r="V361" i="30"/>
  <c r="W361" i="30" s="1"/>
  <c r="O361" i="30"/>
  <c r="P361" i="30" s="1"/>
  <c r="P360" i="30" s="1"/>
  <c r="O360" i="30"/>
  <c r="AL358" i="30"/>
  <c r="AM358" i="30" s="1"/>
  <c r="AL357" i="30"/>
  <c r="AM357" i="30" s="1"/>
  <c r="V357" i="30"/>
  <c r="W357" i="30" s="1"/>
  <c r="AL356" i="30"/>
  <c r="AM356" i="30" s="1"/>
  <c r="AA354" i="30"/>
  <c r="K354" i="30"/>
  <c r="AL352" i="30"/>
  <c r="AF352" i="30"/>
  <c r="AE352" i="30"/>
  <c r="P350" i="30"/>
  <c r="AF349" i="30"/>
  <c r="AE349" i="30"/>
  <c r="N349" i="30"/>
  <c r="M349" i="30"/>
  <c r="L349" i="30"/>
  <c r="AL348" i="30"/>
  <c r="AM348" i="30" s="1"/>
  <c r="AE348" i="30"/>
  <c r="AF348" i="30" s="1"/>
  <c r="O348" i="30"/>
  <c r="L326" i="30" s="1"/>
  <c r="F303" i="30" s="1"/>
  <c r="L348" i="30"/>
  <c r="AE347" i="30"/>
  <c r="AF347" i="30" s="1"/>
  <c r="N347" i="30"/>
  <c r="L347" i="30"/>
  <c r="N346" i="30"/>
  <c r="L346" i="30"/>
  <c r="G346" i="30"/>
  <c r="E346" i="30"/>
  <c r="D304" i="30" s="1"/>
  <c r="AL345" i="30"/>
  <c r="AM345" i="30" s="1"/>
  <c r="O345" i="30"/>
  <c r="M332" i="30" s="1"/>
  <c r="L345" i="30"/>
  <c r="AL344" i="30"/>
  <c r="AM344" i="30" s="1"/>
  <c r="AE344" i="30"/>
  <c r="AF344" i="30" s="1"/>
  <c r="N344" i="30"/>
  <c r="AM343" i="30"/>
  <c r="AL343" i="30"/>
  <c r="AA341" i="30"/>
  <c r="AL340" i="30"/>
  <c r="AM340" i="30" s="1"/>
  <c r="AL339" i="30"/>
  <c r="AM339" i="30" s="1"/>
  <c r="AE339" i="30"/>
  <c r="AL338" i="30"/>
  <c r="AM338" i="30" s="1"/>
  <c r="AE336" i="30"/>
  <c r="AF336" i="30" s="1"/>
  <c r="X336" i="30"/>
  <c r="W336" i="30"/>
  <c r="V336" i="30"/>
  <c r="AM335" i="30"/>
  <c r="AL335" i="30"/>
  <c r="AF335" i="30"/>
  <c r="AE335" i="30"/>
  <c r="X335" i="30"/>
  <c r="W335" i="30"/>
  <c r="R335" i="30"/>
  <c r="P335" i="30"/>
  <c r="AE334" i="30"/>
  <c r="AF334" i="30" s="1"/>
  <c r="W334" i="30"/>
  <c r="X334" i="30" s="1"/>
  <c r="AL370" i="30" s="1"/>
  <c r="AM370" i="30" s="1"/>
  <c r="W333" i="30"/>
  <c r="X333" i="30" s="1"/>
  <c r="AL332" i="30"/>
  <c r="AM332" i="30" s="1"/>
  <c r="W332" i="30"/>
  <c r="X332" i="30" s="1"/>
  <c r="AL331" i="30"/>
  <c r="AM331" i="30" s="1"/>
  <c r="AE331" i="30"/>
  <c r="AF331" i="30" s="1"/>
  <c r="W331" i="30"/>
  <c r="X331" i="30" s="1"/>
  <c r="AL330" i="30"/>
  <c r="AM330" i="30" s="1"/>
  <c r="AA328" i="30"/>
  <c r="AM327" i="30"/>
  <c r="AL327" i="30"/>
  <c r="AM326" i="30"/>
  <c r="W37" i="30" s="1"/>
  <c r="AL326" i="30"/>
  <c r="AF326" i="30"/>
  <c r="AE326" i="30"/>
  <c r="AM325" i="30"/>
  <c r="AL325" i="30"/>
  <c r="C325" i="30"/>
  <c r="AM323" i="30"/>
  <c r="W32" i="30" s="1"/>
  <c r="AL323" i="30"/>
  <c r="AM322" i="30"/>
  <c r="AL322" i="30"/>
  <c r="AF322" i="30"/>
  <c r="P31" i="30" s="1"/>
  <c r="AE322" i="30"/>
  <c r="R322" i="30"/>
  <c r="AL318" i="30"/>
  <c r="V25" i="30" s="1"/>
  <c r="AE318" i="30"/>
  <c r="AF318" i="30" s="1"/>
  <c r="P25" i="30" s="1"/>
  <c r="AA315" i="30"/>
  <c r="AE313" i="30"/>
  <c r="AF313" i="30" s="1"/>
  <c r="F311" i="30"/>
  <c r="D311" i="30"/>
  <c r="AL310" i="30"/>
  <c r="AM310" i="30" s="1"/>
  <c r="AL309" i="30"/>
  <c r="AM309" i="30" s="1"/>
  <c r="AE309" i="30"/>
  <c r="AF309" i="30" s="1"/>
  <c r="D309" i="30"/>
  <c r="F309" i="30" s="1"/>
  <c r="AM305" i="30"/>
  <c r="AL305" i="30"/>
  <c r="AF305" i="30"/>
  <c r="AA302" i="30"/>
  <c r="G302" i="30"/>
  <c r="D306" i="30" s="1"/>
  <c r="W38" i="30"/>
  <c r="V38" i="30"/>
  <c r="S38" i="30"/>
  <c r="P38" i="30"/>
  <c r="O38" i="30"/>
  <c r="L38" i="30"/>
  <c r="C38" i="30"/>
  <c r="V37" i="30"/>
  <c r="S37" i="30"/>
  <c r="P37" i="30"/>
  <c r="O37" i="30"/>
  <c r="L37" i="30"/>
  <c r="W36" i="30"/>
  <c r="V36" i="30"/>
  <c r="S36" i="30"/>
  <c r="P36" i="30"/>
  <c r="O36" i="30"/>
  <c r="L36" i="30"/>
  <c r="R34" i="30"/>
  <c r="K34" i="30"/>
  <c r="V32" i="30"/>
  <c r="S32" i="30"/>
  <c r="P32" i="30"/>
  <c r="O32" i="30"/>
  <c r="L32" i="30"/>
  <c r="C32" i="30"/>
  <c r="W31" i="30"/>
  <c r="V31" i="30"/>
  <c r="S31" i="30"/>
  <c r="O31" i="30"/>
  <c r="L31" i="30"/>
  <c r="W30" i="30"/>
  <c r="V30" i="30"/>
  <c r="S30" i="30"/>
  <c r="P30" i="30"/>
  <c r="O30" i="30"/>
  <c r="L30" i="30"/>
  <c r="R28" i="30"/>
  <c r="K28" i="30"/>
  <c r="C28" i="30"/>
  <c r="W26" i="30"/>
  <c r="V26" i="30"/>
  <c r="S26" i="30"/>
  <c r="P26" i="30"/>
  <c r="O26" i="30"/>
  <c r="L26" i="30"/>
  <c r="C26" i="30"/>
  <c r="S25" i="30"/>
  <c r="O25" i="30"/>
  <c r="L25" i="30"/>
  <c r="W24" i="30"/>
  <c r="V24" i="30"/>
  <c r="S24" i="30"/>
  <c r="P24" i="30"/>
  <c r="O24" i="30"/>
  <c r="L24" i="30"/>
  <c r="R22" i="30"/>
  <c r="K22" i="30"/>
  <c r="C22" i="30"/>
  <c r="K19" i="30"/>
  <c r="M326" i="30" l="1"/>
  <c r="L332" i="30"/>
  <c r="D303" i="30"/>
  <c r="O391" i="30"/>
  <c r="P391" i="30" s="1"/>
  <c r="AE378" i="30"/>
  <c r="AF378" i="30" s="1"/>
  <c r="F319" i="30"/>
  <c r="D319" i="30"/>
  <c r="G335" i="30"/>
  <c r="D310" i="30"/>
  <c r="D312" i="30" s="1"/>
  <c r="D321" i="30" s="1"/>
  <c r="AE357" i="30"/>
  <c r="AF357" i="30" s="1"/>
  <c r="O357" i="30"/>
  <c r="P357" i="30" s="1"/>
  <c r="O383" i="30"/>
  <c r="P383" i="30" s="1"/>
  <c r="AE370" i="30"/>
  <c r="AF370" i="30" s="1"/>
  <c r="O370" i="30"/>
  <c r="P370" i="30" s="1"/>
  <c r="AE374" i="30"/>
  <c r="AF374" i="30" s="1"/>
  <c r="O387" i="30"/>
  <c r="P387" i="30" s="1"/>
  <c r="O374" i="30"/>
  <c r="P374" i="30" s="1"/>
  <c r="F306" i="30"/>
  <c r="F310" i="30" s="1"/>
  <c r="F312" i="30" s="1"/>
  <c r="AL361" i="30"/>
  <c r="AM361" i="30" s="1"/>
  <c r="F314" i="30"/>
  <c r="D314" i="30" s="1"/>
  <c r="AM318" i="30"/>
  <c r="W25" i="30" s="1"/>
  <c r="D316" i="30" l="1"/>
  <c r="D320" i="30"/>
  <c r="D318" i="30"/>
  <c r="K332" i="30"/>
  <c r="K326" i="30"/>
  <c r="O339" i="30"/>
  <c r="G32" i="30"/>
  <c r="L305" i="30" s="1"/>
  <c r="M338" i="30"/>
  <c r="X326" i="30"/>
  <c r="P341" i="30"/>
  <c r="N339" i="30"/>
  <c r="N330" i="30"/>
  <c r="P342" i="30"/>
  <c r="L350" i="30" s="1"/>
  <c r="L351" i="30" s="1"/>
  <c r="N340" i="30"/>
  <c r="Q342" i="30"/>
  <c r="O341" i="30"/>
  <c r="O340" i="30"/>
  <c r="N338" i="30"/>
  <c r="R458" i="22"/>
  <c r="S458" i="22" s="1"/>
  <c r="R457" i="22"/>
  <c r="S457" i="22" s="1"/>
  <c r="R456" i="22"/>
  <c r="S456" i="22" s="1"/>
  <c r="R455" i="22"/>
  <c r="R454" i="22"/>
  <c r="S454" i="22" s="1"/>
  <c r="Q459" i="22"/>
  <c r="S455" i="22" l="1"/>
  <c r="R459" i="22"/>
  <c r="G312" i="30"/>
  <c r="G314" i="30" s="1"/>
  <c r="F304" i="30"/>
  <c r="V392" i="30"/>
  <c r="W392" i="30" s="1"/>
  <c r="V379" i="30"/>
  <c r="W379" i="30" s="1"/>
  <c r="V366" i="30"/>
  <c r="W366" i="30" s="1"/>
  <c r="V313" i="30"/>
  <c r="Q313" i="30"/>
  <c r="R306" i="30"/>
  <c r="N306" i="30"/>
  <c r="N313" i="30"/>
  <c r="M313" i="30" s="1"/>
  <c r="O306" i="30"/>
  <c r="U313" i="30"/>
  <c r="P313" i="30"/>
  <c r="L313" i="30"/>
  <c r="X306" i="30"/>
  <c r="Q306" i="30"/>
  <c r="R313" i="30"/>
  <c r="X313" i="30"/>
  <c r="T313" i="30"/>
  <c r="W308" i="30" s="1"/>
  <c r="O313" i="30"/>
  <c r="W306" i="30"/>
  <c r="U302" i="30" s="1"/>
  <c r="P306" i="30"/>
  <c r="L319" i="30"/>
  <c r="W313" i="30"/>
  <c r="S306" i="30"/>
  <c r="M306" i="30" s="1"/>
  <c r="L306" i="30" s="1"/>
  <c r="O330" i="30"/>
  <c r="P330" i="30" s="1"/>
  <c r="R330" i="30" s="1"/>
  <c r="P332" i="30"/>
  <c r="Q332" i="30"/>
  <c r="R332" i="30" s="1"/>
  <c r="S332" i="30" s="1"/>
  <c r="D313" i="30"/>
  <c r="D317" i="30"/>
  <c r="V343" i="30" l="1"/>
  <c r="W327" i="30"/>
  <c r="W320" i="30"/>
  <c r="P319" i="30"/>
  <c r="X327" i="30"/>
  <c r="W322" i="30" s="1"/>
  <c r="U343" i="30"/>
  <c r="V327" i="30"/>
  <c r="V320" i="30"/>
  <c r="O319" i="30"/>
  <c r="Q319" i="30"/>
  <c r="U327" i="30"/>
  <c r="U320" i="30"/>
  <c r="R319" i="30"/>
  <c r="L318" i="30" s="1"/>
  <c r="N319" i="30"/>
  <c r="W343" i="30"/>
  <c r="X339" i="30" s="1"/>
  <c r="X320" i="30"/>
  <c r="W315" i="30" s="1"/>
  <c r="N322" i="30" s="1"/>
  <c r="S322" i="30" s="1"/>
  <c r="N324" i="30" s="1"/>
  <c r="G339" i="30" s="1"/>
  <c r="T320" i="30"/>
  <c r="G328" i="30"/>
  <c r="D315" i="30"/>
  <c r="G24" i="30"/>
  <c r="G313" i="30"/>
  <c r="F321" i="30" s="1"/>
  <c r="G337" i="30" l="1"/>
  <c r="G34" i="30" s="1"/>
  <c r="G36" i="30"/>
  <c r="C337" i="30"/>
  <c r="C34" i="30" s="1"/>
  <c r="C339" i="30"/>
  <c r="C36" i="30" s="1"/>
  <c r="G341" i="30"/>
  <c r="G38" i="30" s="1"/>
  <c r="F351" i="30"/>
  <c r="G22" i="30" s="1"/>
  <c r="F316" i="30"/>
  <c r="F320" i="30"/>
  <c r="C324" i="30" s="1"/>
  <c r="C326" i="30" s="1"/>
  <c r="N326" i="30" l="1"/>
  <c r="Q326" i="30" s="1"/>
  <c r="R326" i="30" s="1"/>
  <c r="S326" i="30" s="1"/>
  <c r="G324" i="30"/>
  <c r="G325" i="30"/>
  <c r="G326" i="30" s="1"/>
  <c r="F26" i="30" s="1"/>
  <c r="F318" i="30"/>
  <c r="F317" i="30"/>
  <c r="F313" i="30"/>
  <c r="G26" i="30" l="1"/>
  <c r="F315" i="30"/>
  <c r="G332" i="30"/>
  <c r="R324" i="30"/>
  <c r="O324" i="30"/>
  <c r="P324" i="30"/>
  <c r="G28" i="30" l="1"/>
  <c r="G330" i="30"/>
  <c r="L435" i="22" l="1"/>
  <c r="S459" i="22" l="1"/>
  <c r="R431" i="22" l="1"/>
  <c r="C496" i="22" l="1"/>
  <c r="O426" i="22" l="1"/>
  <c r="T404" i="22" l="1"/>
  <c r="Q404" i="22"/>
  <c r="D411" i="22" l="1"/>
  <c r="F411" i="22" s="1"/>
  <c r="M426" i="22"/>
  <c r="F413" i="22"/>
  <c r="D413" i="22"/>
  <c r="C40" i="22"/>
  <c r="C34" i="22"/>
  <c r="C30" i="22"/>
  <c r="C28" i="22"/>
  <c r="D406" i="22" l="1"/>
  <c r="M441" i="22"/>
  <c r="L441" i="22"/>
  <c r="D405" i="22"/>
  <c r="M435" i="22"/>
  <c r="F416" i="22" l="1"/>
  <c r="D416" i="22" s="1"/>
  <c r="F421" i="22"/>
  <c r="D421" i="22"/>
  <c r="K219" i="9" l="1"/>
  <c r="L219" i="9"/>
  <c r="M219" i="9"/>
  <c r="N219" i="9"/>
  <c r="O219" i="9"/>
  <c r="P219" i="9"/>
  <c r="K220" i="9"/>
  <c r="L220" i="9"/>
  <c r="M220" i="9"/>
  <c r="N220" i="9"/>
  <c r="O220" i="9"/>
  <c r="P220" i="9"/>
  <c r="K221" i="9"/>
  <c r="L221" i="9"/>
  <c r="M221" i="9"/>
  <c r="N221" i="9"/>
  <c r="O221" i="9"/>
  <c r="P221" i="9"/>
  <c r="K222" i="9"/>
  <c r="L222" i="9"/>
  <c r="M222" i="9"/>
  <c r="N222" i="9"/>
  <c r="O222" i="9"/>
  <c r="P222" i="9"/>
  <c r="K223" i="9"/>
  <c r="L223" i="9"/>
  <c r="M223" i="9"/>
  <c r="J214" i="9" s="1"/>
  <c r="N223" i="9"/>
  <c r="O223" i="9"/>
  <c r="P223" i="9"/>
  <c r="K201" i="9"/>
  <c r="L201" i="9"/>
  <c r="M201" i="9"/>
  <c r="N201" i="9"/>
  <c r="O201" i="9"/>
  <c r="P201" i="9"/>
  <c r="K202" i="9"/>
  <c r="L202" i="9"/>
  <c r="M202" i="9"/>
  <c r="N202" i="9"/>
  <c r="O202" i="9"/>
  <c r="P202" i="9"/>
  <c r="K203" i="9"/>
  <c r="L203" i="9"/>
  <c r="M203" i="9"/>
  <c r="N203" i="9"/>
  <c r="O203" i="9"/>
  <c r="P203" i="9"/>
  <c r="K204" i="9"/>
  <c r="L204" i="9"/>
  <c r="M204" i="9"/>
  <c r="N204" i="9"/>
  <c r="O204" i="9"/>
  <c r="P204" i="9"/>
  <c r="K205" i="9"/>
  <c r="L205" i="9"/>
  <c r="M205" i="9"/>
  <c r="N205" i="9"/>
  <c r="O205" i="9"/>
  <c r="P205" i="9"/>
  <c r="J210" i="9"/>
  <c r="J211" i="9"/>
  <c r="J212" i="9"/>
  <c r="J213" i="9"/>
  <c r="N210" i="9"/>
  <c r="M207" i="9"/>
  <c r="M209" i="9" s="1"/>
  <c r="F212" i="9"/>
  <c r="F215" i="9"/>
  <c r="C208" i="9"/>
  <c r="M170" i="9"/>
  <c r="M173" i="9" s="1"/>
  <c r="C215" i="9"/>
  <c r="C222" i="9"/>
  <c r="F211" i="9"/>
  <c r="J192" i="9"/>
  <c r="J193" i="9"/>
  <c r="J194" i="9"/>
  <c r="J195" i="9"/>
  <c r="J196" i="9"/>
  <c r="N192" i="9"/>
  <c r="M189" i="9"/>
  <c r="M191" i="9" s="1"/>
  <c r="F194" i="9"/>
  <c r="F197" i="9"/>
  <c r="C190" i="9"/>
  <c r="C197" i="9"/>
  <c r="C204" i="9"/>
  <c r="F193" i="9"/>
  <c r="J173" i="9"/>
  <c r="J174" i="9"/>
  <c r="J175" i="9"/>
  <c r="J176" i="9"/>
  <c r="J177" i="9"/>
  <c r="N173" i="9"/>
  <c r="F175" i="9"/>
  <c r="F178" i="9"/>
  <c r="C178" i="9"/>
  <c r="C186" i="9"/>
  <c r="N175" i="9"/>
  <c r="F174" i="9"/>
  <c r="F210" i="9"/>
  <c r="C210" i="9"/>
  <c r="N208" i="9" s="1"/>
  <c r="F213" i="9" s="1"/>
  <c r="C192" i="9"/>
  <c r="F192" i="9"/>
  <c r="F173" i="9"/>
  <c r="C173" i="9"/>
  <c r="N171" i="9" s="1"/>
  <c r="F176" i="9" s="1"/>
  <c r="F177" i="9" s="1"/>
  <c r="N190" i="9"/>
  <c r="F195" i="9" s="1"/>
  <c r="J215" i="9" l="1"/>
  <c r="F208" i="9" s="1"/>
  <c r="F222" i="9" s="1"/>
  <c r="F179" i="9"/>
  <c r="J178" i="9"/>
  <c r="F171" i="9" s="1"/>
  <c r="F186" i="9" s="1"/>
  <c r="J197" i="9"/>
  <c r="F190" i="9" s="1"/>
  <c r="F204" i="9" s="1"/>
  <c r="C176" i="9"/>
  <c r="C177" i="9" s="1"/>
  <c r="C179" i="9" s="1"/>
  <c r="C187" i="9" s="1"/>
  <c r="C183" i="9" s="1"/>
  <c r="C180" i="9" s="1"/>
  <c r="C182" i="9" s="1"/>
  <c r="M192" i="9"/>
  <c r="M210" i="9"/>
  <c r="M172" i="9"/>
  <c r="C213" i="9"/>
  <c r="C214" i="9" s="1"/>
  <c r="C216" i="9" s="1"/>
  <c r="C223" i="9" s="1"/>
  <c r="C220" i="9" s="1"/>
  <c r="F214" i="9"/>
  <c r="F216" i="9" s="1"/>
  <c r="F223" i="9" s="1"/>
  <c r="F220" i="9" s="1"/>
  <c r="F217" i="9" s="1"/>
  <c r="F219" i="9" s="1"/>
  <c r="F196" i="9"/>
  <c r="F198" i="9" s="1"/>
  <c r="F205" i="9" s="1"/>
  <c r="F202" i="9" s="1"/>
  <c r="F199" i="9" s="1"/>
  <c r="F201" i="9" s="1"/>
  <c r="M212" i="9"/>
  <c r="M211" i="9"/>
  <c r="M194" i="9"/>
  <c r="M193" i="9"/>
  <c r="C195" i="9"/>
  <c r="C196" i="9" s="1"/>
  <c r="C198" i="9" s="1"/>
  <c r="C205" i="9" s="1"/>
  <c r="C202" i="9" s="1"/>
  <c r="C217" i="9" l="1"/>
  <c r="C219" i="9" s="1"/>
  <c r="C221" i="9"/>
  <c r="C218" i="9" s="1"/>
  <c r="F187" i="9"/>
  <c r="F183" i="9" s="1"/>
  <c r="F221" i="9"/>
  <c r="F218" i="9" s="1"/>
  <c r="C184" i="9"/>
  <c r="C181" i="9" s="1"/>
  <c r="M174" i="9"/>
  <c r="M175" i="9"/>
  <c r="F203" i="9"/>
  <c r="F200" i="9" s="1"/>
  <c r="C199" i="9"/>
  <c r="C201" i="9" s="1"/>
  <c r="C203" i="9"/>
  <c r="C200" i="9" s="1"/>
  <c r="F180" i="9" l="1"/>
  <c r="F182" i="9" s="1"/>
  <c r="F184" i="9"/>
  <c r="F181" i="9" s="1"/>
  <c r="F405" i="22" l="1"/>
  <c r="D408" i="22" l="1"/>
  <c r="D412" i="22" l="1"/>
  <c r="D414" i="22" s="1"/>
  <c r="D423" i="22" s="1"/>
  <c r="G443" i="22"/>
  <c r="F408" i="22"/>
  <c r="F412" i="22" s="1"/>
  <c r="F414" i="22" s="1"/>
  <c r="L419" i="22" l="1"/>
  <c r="G34" i="22"/>
  <c r="N444" i="22" s="1"/>
  <c r="N439" i="22"/>
  <c r="L416" i="22"/>
  <c r="L417" i="22"/>
  <c r="K435" i="22"/>
  <c r="K441" i="22"/>
  <c r="L418" i="22" l="1"/>
  <c r="L423" i="22" s="1"/>
  <c r="F406" i="22" s="1"/>
  <c r="X430" i="22"/>
  <c r="Z430" i="22"/>
  <c r="Z423" i="22"/>
  <c r="X409" i="22"/>
  <c r="X404" i="22" s="1"/>
  <c r="Y430" i="22"/>
  <c r="W430" i="22"/>
  <c r="L450" i="22"/>
  <c r="Z409" i="22"/>
  <c r="W423" i="22"/>
  <c r="X423" i="22"/>
  <c r="Y423" i="22"/>
  <c r="Z416" i="22"/>
  <c r="O450" i="22"/>
  <c r="M450" i="22"/>
  <c r="W416" i="22"/>
  <c r="Y416" i="22"/>
  <c r="X416" i="22"/>
  <c r="Y432" i="22"/>
  <c r="Q450" i="22"/>
  <c r="Y409" i="22"/>
  <c r="Z404" i="22" s="1"/>
  <c r="N450" i="22"/>
  <c r="S450" i="22"/>
  <c r="P441" i="22"/>
  <c r="O439" i="22"/>
  <c r="P439" i="22" s="1"/>
  <c r="R439" i="22" s="1"/>
  <c r="Q441" i="22"/>
  <c r="R441" i="22" s="1"/>
  <c r="S441" i="22" s="1"/>
  <c r="D422" i="22"/>
  <c r="D418" i="22"/>
  <c r="D420" i="22"/>
  <c r="Z425" i="22" l="1"/>
  <c r="V444" i="22"/>
  <c r="Z444" i="22"/>
  <c r="Z451" i="22"/>
  <c r="X444" i="22"/>
  <c r="W444" i="22"/>
  <c r="Y444" i="22"/>
  <c r="Z418" i="22"/>
  <c r="Z411" i="22"/>
  <c r="K450" i="22"/>
  <c r="R444" i="22" s="1"/>
  <c r="Y437" i="22"/>
  <c r="W437" i="22"/>
  <c r="G414" i="22"/>
  <c r="G416" i="22" s="1"/>
  <c r="D415" i="22"/>
  <c r="D419" i="22"/>
  <c r="V451" i="22"/>
  <c r="V437" i="22"/>
  <c r="X437" i="22"/>
  <c r="W451" i="22"/>
  <c r="Z446" i="22"/>
  <c r="Z437" i="22"/>
  <c r="X439" i="22" l="1"/>
  <c r="Z439" i="22"/>
  <c r="W446" i="22"/>
  <c r="Z432" i="22"/>
  <c r="Y411" i="22"/>
  <c r="G415" i="22"/>
  <c r="F423" i="22" s="1"/>
  <c r="F422" i="22" s="1"/>
  <c r="C432" i="22" s="1"/>
  <c r="D417" i="22"/>
  <c r="G436" i="22"/>
  <c r="G26" i="22"/>
  <c r="N431" i="22" l="1"/>
  <c r="S431" i="22" s="1"/>
  <c r="N433" i="22" s="1"/>
  <c r="G447" i="22" s="1"/>
  <c r="C447" i="22" s="1"/>
  <c r="C38" i="22" s="1"/>
  <c r="F418" i="22"/>
  <c r="O421" i="22"/>
  <c r="G24" i="22" s="1"/>
  <c r="G449" i="22" l="1"/>
  <c r="G40" i="22" s="1"/>
  <c r="G38" i="22"/>
  <c r="G445" i="22"/>
  <c r="G36" i="22" s="1"/>
  <c r="C445" i="22"/>
  <c r="C36" i="22" s="1"/>
  <c r="N435" i="22"/>
  <c r="Q435" i="22" s="1"/>
  <c r="R435" i="22" s="1"/>
  <c r="S435" i="22" s="1"/>
  <c r="C434" i="22"/>
  <c r="F415" i="22"/>
  <c r="F419" i="22"/>
  <c r="G433" i="22"/>
  <c r="G434" i="22" s="1"/>
  <c r="F28" i="22" s="1"/>
  <c r="G432" i="22"/>
  <c r="F420" i="22"/>
  <c r="P433" i="22" l="1"/>
  <c r="O433" i="22"/>
  <c r="R433" i="22"/>
  <c r="G28" i="22"/>
  <c r="F417" i="22"/>
  <c r="G440" i="22"/>
  <c r="G30" i="22" l="1"/>
  <c r="G438" i="22"/>
</calcChain>
</file>

<file path=xl/comments1.xml><?xml version="1.0" encoding="utf-8"?>
<comments xmlns="http://schemas.openxmlformats.org/spreadsheetml/2006/main">
  <authors>
    <author>Leon VanKan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</rPr>
          <t>Leon VanKan: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<sst xmlns="http://schemas.openxmlformats.org/spreadsheetml/2006/main" count="1100" uniqueCount="251">
  <si>
    <t>Interest Free Finance</t>
  </si>
  <si>
    <t>Switches</t>
  </si>
  <si>
    <t>Term</t>
  </si>
  <si>
    <t>Cash Price Inc</t>
  </si>
  <si>
    <t>Booking Fee</t>
  </si>
  <si>
    <t>Norm Term</t>
  </si>
  <si>
    <t>Int Free Term</t>
  </si>
  <si>
    <t>Finance Rate</t>
  </si>
  <si>
    <t>6 Months</t>
  </si>
  <si>
    <t>3 Months</t>
  </si>
  <si>
    <t>Repayment Table</t>
  </si>
  <si>
    <t>12 Months</t>
  </si>
  <si>
    <t>Total Cash Price (Incl. GST)</t>
  </si>
  <si>
    <t>18 Months</t>
  </si>
  <si>
    <t>Insurance Rate</t>
  </si>
  <si>
    <t>Int Fre Term</t>
  </si>
  <si>
    <t>24 Months</t>
  </si>
  <si>
    <t>Insurance Amount</t>
  </si>
  <si>
    <t>36 Months</t>
  </si>
  <si>
    <t>Total Gross Cost</t>
  </si>
  <si>
    <t>A</t>
  </si>
  <si>
    <t>Less Deposit</t>
  </si>
  <si>
    <t>B</t>
  </si>
  <si>
    <t>Amount Financed (A-B)</t>
  </si>
  <si>
    <t>C</t>
  </si>
  <si>
    <t>Finance Charges</t>
  </si>
  <si>
    <t>Total Charges</t>
  </si>
  <si>
    <t>D</t>
  </si>
  <si>
    <t>Months Interest Free</t>
  </si>
  <si>
    <t>Monthly Payments</t>
  </si>
  <si>
    <t>Total Cost of Credit</t>
  </si>
  <si>
    <t>Balance Payable (C+D)</t>
  </si>
  <si>
    <t>E</t>
  </si>
  <si>
    <t>-</t>
  </si>
  <si>
    <t>Total Cost of Transaction (A+D)</t>
  </si>
  <si>
    <t>F</t>
  </si>
  <si>
    <t>Interest Rate</t>
  </si>
  <si>
    <t>Exclusive</t>
  </si>
  <si>
    <t xml:space="preserve">Inclusive </t>
  </si>
  <si>
    <t>GST Switch</t>
  </si>
  <si>
    <t>Total INC</t>
  </si>
  <si>
    <t>Gst Pull Men</t>
  </si>
  <si>
    <t>Table 1 - Current Finance</t>
  </si>
  <si>
    <t>Table 2 - Current Finance</t>
  </si>
  <si>
    <t>Table 3 - Current Finance</t>
  </si>
  <si>
    <t>Price</t>
  </si>
  <si>
    <t>Retail Difference (Your Client Saves)</t>
  </si>
  <si>
    <t>6 M</t>
  </si>
  <si>
    <t>12 M</t>
  </si>
  <si>
    <t>18 M</t>
  </si>
  <si>
    <t>24 M</t>
  </si>
  <si>
    <t>36 M</t>
  </si>
  <si>
    <t>Current Finance</t>
  </si>
  <si>
    <t>Cash $ - Dep</t>
  </si>
  <si>
    <t>Am Financed</t>
  </si>
  <si>
    <t>Int Fr Term</t>
  </si>
  <si>
    <t>Rate %</t>
  </si>
  <si>
    <t>W %</t>
  </si>
  <si>
    <t>Paymts</t>
  </si>
  <si>
    <t>W - PV</t>
  </si>
  <si>
    <t>PV</t>
  </si>
  <si>
    <t>$ Range</t>
  </si>
  <si>
    <t>Interest Charge</t>
  </si>
  <si>
    <t>Admin Fee</t>
  </si>
  <si>
    <t>Interest Free / Discounted Interest Amount</t>
  </si>
  <si>
    <t>SW</t>
  </si>
  <si>
    <t>Booking</t>
  </si>
  <si>
    <t>Gst Inc/Exc</t>
  </si>
  <si>
    <t>G.S.T. Exclusive</t>
  </si>
  <si>
    <t xml:space="preserve">G.S.T. Inclusive </t>
  </si>
  <si>
    <t>GST</t>
  </si>
  <si>
    <t>Total Payable to your Bank Account</t>
  </si>
  <si>
    <t>Normal</t>
  </si>
  <si>
    <t>NF Rebate</t>
  </si>
  <si>
    <t>3M IF Rebate</t>
  </si>
  <si>
    <t>Normal Interest Amount</t>
  </si>
  <si>
    <t>Deposit</t>
  </si>
  <si>
    <t>Int Free Trm</t>
  </si>
  <si>
    <t>Presant Value</t>
  </si>
  <si>
    <t>Total Price Including GST</t>
  </si>
  <si>
    <t>6M</t>
  </si>
  <si>
    <t>12M</t>
  </si>
  <si>
    <t>18M</t>
  </si>
  <si>
    <t>24M</t>
  </si>
  <si>
    <t>36M</t>
  </si>
  <si>
    <t>www.creditcapable.co.nz/html/gold.html</t>
  </si>
  <si>
    <t>$500 - $3000</t>
  </si>
  <si>
    <t>$3001 - $6000</t>
  </si>
  <si>
    <t>$6001 - $20,000</t>
  </si>
  <si>
    <t>$500 to $3000</t>
  </si>
  <si>
    <t>$3001 to $6000</t>
  </si>
  <si>
    <t>Individual Finance</t>
  </si>
  <si>
    <t>Business Finance</t>
  </si>
  <si>
    <t>CAUTION: This correspondence with accompanying data contains information that is confidential, and subject to legal privilege. If you are not the intended recipient you are hereby notified – that any dissemination, distribution or copying of this information / data is: STRICTLY PROHIBITED.</t>
  </si>
  <si>
    <t>Fin Type</t>
  </si>
  <si>
    <t>Ind / Biz REBATE</t>
  </si>
  <si>
    <t>For Questions and Queries please email…</t>
  </si>
  <si>
    <t>accounts@creditcapable.co.nz</t>
  </si>
  <si>
    <t>IRR (Internal Rate of Return)</t>
  </si>
  <si>
    <t>$6001 to $20,000</t>
  </si>
  <si>
    <t>$500 to $20,000</t>
  </si>
  <si>
    <t>Interest Switch</t>
  </si>
  <si>
    <t>2 Months</t>
  </si>
  <si>
    <t>Base Rate Finance</t>
  </si>
  <si>
    <t>48 M</t>
  </si>
  <si>
    <t>18M IF</t>
  </si>
  <si>
    <t>12M IF</t>
  </si>
  <si>
    <t>9M IF</t>
  </si>
  <si>
    <t>9 Months</t>
  </si>
  <si>
    <t>2M IF</t>
  </si>
  <si>
    <t>$6001 - $20000</t>
  </si>
  <si>
    <t>$6,001 - $20,000</t>
  </si>
  <si>
    <t>Base Rate Interest Total</t>
  </si>
  <si>
    <t>Weekly Repayments</t>
  </si>
  <si>
    <t>Fortnightly Repayments</t>
  </si>
  <si>
    <t>Monthly Repayments</t>
  </si>
  <si>
    <t>Weekly</t>
  </si>
  <si>
    <t>Fortnightly</t>
  </si>
  <si>
    <t>Monthly</t>
  </si>
  <si>
    <t>Purchase Price - Deposit</t>
  </si>
  <si>
    <t>A break down of each sale will be detailed in the Payment Notifications we send you.</t>
  </si>
  <si>
    <t>Retention</t>
  </si>
  <si>
    <t>Use the ORANGE input fields for calculations.  All pull down options are selectable except N/A.
Quoted Repayments, Rates and Interest Totals are to be treated as an indicative guide.</t>
  </si>
  <si>
    <r>
      <t xml:space="preserve">Sale payment information  </t>
    </r>
    <r>
      <rPr>
        <sz val="8"/>
        <color theme="1" tint="0.34998626667073579"/>
        <rFont val="Arial"/>
        <family val="2"/>
      </rPr>
      <t>-  If you need help - Ph 0800 74 11 11 - Ext 3.</t>
    </r>
  </si>
  <si>
    <t>Individual</t>
  </si>
  <si>
    <t>Business</t>
  </si>
  <si>
    <t>Link = 2</t>
  </si>
  <si>
    <t>Link = 1</t>
  </si>
  <si>
    <t>IF $ and % from payment</t>
  </si>
  <si>
    <t>N/A</t>
  </si>
  <si>
    <t>.</t>
  </si>
  <si>
    <t>Processing Options Switch</t>
  </si>
  <si>
    <t>Processing options</t>
  </si>
  <si>
    <t>6 Month Payment Term with 6 Months Interest Free</t>
  </si>
  <si>
    <t>4M IF</t>
  </si>
  <si>
    <t>4 Months</t>
  </si>
  <si>
    <t>Promotion Term</t>
  </si>
  <si>
    <t>$3001 to $6,000</t>
  </si>
  <si>
    <t>$6,001 to $20,000</t>
  </si>
  <si>
    <t>Repayment Term</t>
  </si>
  <si>
    <t>Frequency Type</t>
  </si>
  <si>
    <t>$500 to $6,000</t>
  </si>
  <si>
    <t>`</t>
  </si>
  <si>
    <t>Camera Cash Backs = Approx 5%</t>
  </si>
  <si>
    <t>12 Month Payment Term with 12 Months Interest Free</t>
  </si>
  <si>
    <t>Switch</t>
  </si>
  <si>
    <t>Dealer</t>
  </si>
  <si>
    <t>Fin Type Term</t>
  </si>
  <si>
    <t>3M IF</t>
  </si>
  <si>
    <t>6M IF</t>
  </si>
  <si>
    <t>0% and IF Rates @ 3k Range</t>
  </si>
  <si>
    <t>0% Int Term</t>
  </si>
  <si>
    <t>Interest Free Cost (Switch)</t>
  </si>
  <si>
    <t>0% Interest Cost (Switch)</t>
  </si>
  <si>
    <t>0% Ret</t>
  </si>
  <si>
    <t>D Cost</t>
  </si>
  <si>
    <t>CC Cost</t>
  </si>
  <si>
    <t>CC Ern</t>
  </si>
  <si>
    <t>Interest Free Calcs</t>
  </si>
  <si>
    <t>0% Interest Calcs</t>
  </si>
  <si>
    <t>Finance Type Mthly Paymnts</t>
  </si>
  <si>
    <t>18 Month Payment Term with 18 Months Interest Free</t>
  </si>
  <si>
    <t>24 Month Payment Term with 24 Months Interest Free</t>
  </si>
  <si>
    <t>12 Month Payment Term with 2 Months 0% Interest</t>
  </si>
  <si>
    <t>18 Month Payment Term with 3 Months 0% Interest</t>
  </si>
  <si>
    <t>24 Month Payment Term with 4 Months 0% Interest</t>
  </si>
  <si>
    <t>36 Month Payment Term with 6 Months 0% Interest</t>
  </si>
  <si>
    <t>6 Month Payment Term with 2 Months 0% Interest</t>
  </si>
  <si>
    <t>12 Month Payment Term with 3 Months 0% Interest</t>
  </si>
  <si>
    <t>18 Month Payment Term with 4 Months 0% Interest</t>
  </si>
  <si>
    <t>6 Month Payment Term with 3 Months 0% Interest</t>
  </si>
  <si>
    <t>24 Month Payment Term with 6 Months 0% Interest</t>
  </si>
  <si>
    <t>12 Month Payment Term with 4 Months 0% Interest</t>
  </si>
  <si>
    <t>36 Month Payment Term with 9 Months 0% Interest</t>
  </si>
  <si>
    <t>18 Month Payment Term with 6 Months 0% Interest</t>
  </si>
  <si>
    <t>18 Month Payment Term with 9 Months 0% Interest</t>
  </si>
  <si>
    <t>24 Month Payment Term with 9 Months 0% Interest</t>
  </si>
  <si>
    <t>36 Month Payment Term with 12 Months 0% Interest</t>
  </si>
  <si>
    <t>24 Month Payment Term with 12 Months 0% Interest</t>
  </si>
  <si>
    <t>36 Month Payment Term with 18 Months 0% Interest</t>
  </si>
  <si>
    <t>6 Month Payment Term with 4 Months 0% Interest</t>
  </si>
  <si>
    <t>12 Month Payment Term with 6 Months 0% Interest</t>
  </si>
  <si>
    <t>$500 to $6000</t>
  </si>
  <si>
    <t xml:space="preserve"> Option D  =  -5.4% to -15% Retentions</t>
  </si>
  <si>
    <t xml:space="preserve"> Option C  =  -3.2% to -11.5% Retentions</t>
  </si>
  <si>
    <t xml:space="preserve"> Option B  =  -3.2 to -8.8% Retentions</t>
  </si>
  <si>
    <t xml:space="preserve"> Option A  =  -3.2 to -5.4% Retentions</t>
  </si>
  <si>
    <t>48 Month Term with 9 Months 0% Interest</t>
  </si>
  <si>
    <t>48 Month Term with 12 Months 0% Interest</t>
  </si>
  <si>
    <t>48 Month Term with 18 Months 0% Interest</t>
  </si>
  <si>
    <t>6 Month Payment Term with 1 Months 0% Interest</t>
  </si>
  <si>
    <t>$500 to $25,000
purchases</t>
  </si>
  <si>
    <t xml:space="preserve"> Level 3      ( -2% to -3.5% Retentions )</t>
  </si>
  <si>
    <t xml:space="preserve"> Level 2      ( .5% Rebates to -2.5% Retentions )</t>
  </si>
  <si>
    <t xml:space="preserve"> Level 1      ( No Cost to .5% Rebates )</t>
  </si>
  <si>
    <t>You may also register for an additional loss leader landing page.  NB: Retailer criteria will apply</t>
  </si>
  <si>
    <t>48 Month Payment Term with 12 Months 0% Interest</t>
  </si>
  <si>
    <t>$500 to $25,000</t>
  </si>
  <si>
    <t>Deferred Start with 0% Interest over the Deferred period over 24, 36 and 48 Month terms run at No Cost.</t>
  </si>
  <si>
    <t xml:space="preserve">                       Client Type</t>
  </si>
  <si>
    <t xml:space="preserve">                       Promo Type</t>
  </si>
  <si>
    <t xml:space="preserve"> Level 4      ( -3.3% to -4.5% Retentions )</t>
  </si>
  <si>
    <t xml:space="preserve"> Loss Leader options  ( -3.3% to -5.5% Retentions )</t>
  </si>
  <si>
    <r>
      <rPr>
        <b/>
        <sz val="14"/>
        <rFont val="Arial"/>
        <family val="2"/>
      </rPr>
      <t>PROMOTIONAL PROCESSING OPTIONS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 xml:space="preserve"> -   Grouped by Cost of Sale</t>
    </r>
  </si>
  <si>
    <t>Use the pull down menu to select the options available</t>
  </si>
  <si>
    <t>REGISTER your Processing Level HERE…</t>
  </si>
  <si>
    <t>$6,001 to $25,000</t>
  </si>
  <si>
    <t>$500 to $3,000</t>
  </si>
  <si>
    <t>$3,001 to $6,000</t>
  </si>
  <si>
    <t>$2,000 to $12,000</t>
  </si>
  <si>
    <t>$12,001 to $25,000</t>
  </si>
  <si>
    <t>CC Ern + Bk -$10</t>
  </si>
  <si>
    <t>Old</t>
  </si>
  <si>
    <t>O+2.4%</t>
  </si>
  <si>
    <t>Int Free costs @ 0% (O+.5%)</t>
  </si>
  <si>
    <r>
      <t>Individual and Business Finance</t>
    </r>
    <r>
      <rPr>
        <b/>
        <sz val="8"/>
        <rFont val="Arial"/>
        <family val="2"/>
      </rPr>
      <t xml:space="preserve">   -  </t>
    </r>
    <r>
      <rPr>
        <sz val="8"/>
        <rFont val="Arial"/>
        <family val="2"/>
      </rPr>
      <t xml:space="preserve">Retailer Calculator Ver </t>
    </r>
    <r>
      <rPr>
        <b/>
        <sz val="8"/>
        <rFont val="Arial"/>
        <family val="2"/>
      </rPr>
      <t>10.5</t>
    </r>
  </si>
  <si>
    <t>Monthly Admin</t>
  </si>
  <si>
    <r>
      <rPr>
        <b/>
        <sz val="12"/>
        <rFont val="Arial"/>
        <family val="2"/>
      </rPr>
      <t>Individual and Business Finance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Retailer Calculator Ver 10.6</t>
    </r>
    <r>
      <rPr>
        <sz val="8"/>
        <rFont val="Arial"/>
        <family val="2"/>
      </rPr>
      <t xml:space="preserve">  -  $500 to $25,000 purchases</t>
    </r>
  </si>
  <si>
    <r>
      <rPr>
        <b/>
        <sz val="10"/>
        <color theme="1" tint="0.34998626667073579"/>
        <rFont val="Arial"/>
        <family val="2"/>
      </rPr>
      <t>Sale payment information</t>
    </r>
    <r>
      <rPr>
        <sz val="10"/>
        <color theme="1" tint="0.34998626667073579"/>
        <rFont val="Arial"/>
        <family val="2"/>
      </rPr>
      <t xml:space="preserve">  </t>
    </r>
    <r>
      <rPr>
        <sz val="8"/>
        <color theme="1" tint="0.34998626667073579"/>
        <rFont val="Arial"/>
        <family val="2"/>
      </rPr>
      <t>-  If you need help - Ph 0800 74 11 11 - Ext 3.</t>
    </r>
  </si>
  <si>
    <t xml:space="preserve"> Deposit</t>
  </si>
  <si>
    <t xml:space="preserve"> Total Price Including GST</t>
  </si>
  <si>
    <t>Register your Processing options here…</t>
  </si>
  <si>
    <t>CAUTION: This correspondence with accompanying data contains information that is confidential and
subject to legal privilege. If you are not the intended recipient you are hereby notified – that any dissemination, distribution or copying of this information / data is: STRICTLY PROHIBITED.</t>
  </si>
  <si>
    <t>For questions and queries please email…</t>
  </si>
  <si>
    <t>5 Months</t>
  </si>
  <si>
    <t>1 Months</t>
  </si>
  <si>
    <t>30 Months</t>
  </si>
  <si>
    <t>Standard Rate Finance</t>
  </si>
  <si>
    <t>Standard Rate Interest Total</t>
  </si>
  <si>
    <t>42 Months</t>
  </si>
  <si>
    <t>48 Months</t>
  </si>
  <si>
    <t>$6001 - $25000</t>
  </si>
  <si>
    <t>Weekly Payments</t>
  </si>
  <si>
    <t>Fortnightly Payments</t>
  </si>
  <si>
    <t>42 M</t>
  </si>
  <si>
    <t>5M IF</t>
  </si>
  <si>
    <t>1 IF</t>
  </si>
  <si>
    <t>Mthly</t>
  </si>
  <si>
    <t>Term and Promo Term menu options</t>
  </si>
  <si>
    <t>Biz Book</t>
  </si>
  <si>
    <t>Ind Book</t>
  </si>
  <si>
    <t>0% 
Int Term</t>
  </si>
  <si>
    <t>30 M</t>
  </si>
  <si>
    <t>0% and IF Var Rates @ 3k Range</t>
  </si>
  <si>
    <t>Rebate</t>
  </si>
  <si>
    <t>St FIN REBATEs</t>
  </si>
  <si>
    <t>Price - Dep</t>
  </si>
  <si>
    <t>7 Months</t>
  </si>
  <si>
    <t>8 Months</t>
  </si>
  <si>
    <t>7M IF</t>
  </si>
  <si>
    <t>8M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</si>
</sst>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&quot;$&quot;#,##0.00"/>
    <numFmt numFmtId="166" formatCode="&quot;$&quot;#,##0.00;[Red]&quot;$&quot;#,##0.00"/>
    <numFmt numFmtId="167" formatCode="[$$-1409]#,##0.00;[Red]\-[$$-1409]#,##0.00"/>
    <numFmt numFmtId="168" formatCode="_-* #,##0_-;\-* #,##0_-;_-* &quot;-&quot;??_-;_-@_-"/>
    <numFmt numFmtId="169" formatCode="_-* #,##0.000_-;\-* #,##0.000_-;_-* &quot;-&quot;??_-;_-@_-"/>
    <numFmt numFmtId="170" formatCode="0.0%"/>
    <numFmt numFmtId="171" formatCode="_-* #,##0.00000_-;\-* #,##0.00000_-;_-* &quot;-&quot;??_-;_-@_-"/>
  </numFmts>
  <fonts count="6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indexed="12"/>
      <name val="Arial"/>
      <family val="2"/>
    </font>
    <font>
      <sz val="8.5"/>
      <color indexed="32"/>
      <name val="MS Sans Serif"/>
      <family val="2"/>
    </font>
    <font>
      <sz val="8.5"/>
      <color indexed="18"/>
      <name val="MS Sans Serif"/>
      <family val="2"/>
    </font>
    <font>
      <b/>
      <sz val="8.5"/>
      <color indexed="18"/>
      <name val="MS Sans Serif"/>
      <family val="2"/>
    </font>
    <font>
      <sz val="9"/>
      <color indexed="12"/>
      <name val="Arial"/>
      <family val="2"/>
    </font>
    <font>
      <u/>
      <sz val="8.5"/>
      <color indexed="12"/>
      <name val="Arial"/>
      <family val="2"/>
    </font>
    <font>
      <sz val="8.5"/>
      <name val="Arial"/>
      <family val="2"/>
    </font>
    <font>
      <sz val="7.5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u/>
      <sz val="8"/>
      <color theme="10"/>
      <name val="Arial"/>
      <family val="2"/>
    </font>
    <font>
      <b/>
      <sz val="14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8"/>
      <color theme="1"/>
      <name val="Arial"/>
      <family val="2"/>
    </font>
    <font>
      <sz val="7"/>
      <color theme="1" tint="0.499984740745262"/>
      <name val="Arial"/>
      <family val="2"/>
    </font>
    <font>
      <b/>
      <sz val="20"/>
      <color theme="1" tint="0.499984740745262"/>
      <name val="Arial"/>
      <family val="2"/>
    </font>
    <font>
      <sz val="8"/>
      <color rgb="FF43403D"/>
      <name val="Arial"/>
      <family val="2"/>
    </font>
    <font>
      <sz val="10"/>
      <color theme="1" tint="0.34998626667073579"/>
      <name val="Arial"/>
      <family val="2"/>
    </font>
    <font>
      <sz val="8"/>
      <color theme="1" tint="0.249977111117893"/>
      <name val="Arial"/>
      <family val="2"/>
    </font>
    <font>
      <sz val="10"/>
      <color theme="0"/>
      <name val="Arial"/>
      <family val="2"/>
    </font>
    <font>
      <b/>
      <sz val="14"/>
      <color rgb="FF43403D"/>
      <name val="Arial"/>
      <family val="2"/>
    </font>
    <font>
      <b/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8"/>
      <color rgb="FF43403D"/>
      <name val="Arial"/>
      <family val="2"/>
    </font>
    <font>
      <b/>
      <i/>
      <sz val="10"/>
      <name val="Arial"/>
      <family val="2"/>
    </font>
    <font>
      <b/>
      <sz val="8"/>
      <color rgb="FF43403D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24"/>
      <color theme="0"/>
      <name val="Arial"/>
      <family val="2"/>
    </font>
    <font>
      <b/>
      <sz val="8.5"/>
      <color theme="0"/>
      <name val="Arial"/>
      <family val="2"/>
    </font>
    <font>
      <sz val="8.5"/>
      <color theme="0"/>
      <name val="MS Sans Serif"/>
      <family val="2"/>
    </font>
    <font>
      <b/>
      <sz val="8.5"/>
      <color theme="0"/>
      <name val="MS Sans Serif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sz val="8.5"/>
      <color theme="0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theme="0" tint="-0.499984740745262"/>
      </right>
      <top/>
      <bottom style="thin">
        <color theme="0" tint="-0.1499984740745262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14999847407452621"/>
      </bottom>
      <diagonal/>
    </border>
    <border>
      <left style="medium">
        <color theme="0" tint="-0.499984740745262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theme="0" tint="-0.499984740745262"/>
      </right>
      <top style="thin">
        <color theme="0" tint="-0.1499984740745262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149998474074526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9" tint="-0.249977111117893"/>
      </top>
      <bottom/>
      <diagonal/>
    </border>
    <border>
      <left style="medium">
        <color indexed="64"/>
      </left>
      <right/>
      <top/>
      <bottom style="thin">
        <color theme="9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16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7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167" fontId="1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0" fontId="1" fillId="0" borderId="0"/>
    <xf numFmtId="43" fontId="40" fillId="0" borderId="0" applyFont="0" applyFill="0" applyBorder="0" applyAlignment="0" applyProtection="0"/>
  </cellStyleXfs>
  <cellXfs count="1134">
    <xf numFmtId="167" fontId="0" fillId="0" borderId="0" xfId="0"/>
    <xf numFmtId="167" fontId="2" fillId="0" borderId="4" xfId="0" applyFont="1" applyFill="1" applyBorder="1" applyAlignment="1" applyProtection="1">
      <alignment horizontal="center"/>
      <protection locked="0"/>
    </xf>
    <xf numFmtId="167" fontId="2" fillId="0" borderId="4" xfId="0" applyFont="1" applyFill="1" applyBorder="1" applyAlignment="1" applyProtection="1">
      <alignment horizontal="center" wrapText="1"/>
      <protection locked="0"/>
    </xf>
    <xf numFmtId="167" fontId="2" fillId="0" borderId="7" xfId="0" applyFont="1" applyFill="1" applyBorder="1" applyProtection="1">
      <protection locked="0"/>
    </xf>
    <xf numFmtId="167" fontId="4" fillId="0" borderId="23" xfId="0" applyFont="1" applyFill="1" applyBorder="1" applyProtection="1">
      <protection locked="0"/>
    </xf>
    <xf numFmtId="167" fontId="5" fillId="0" borderId="23" xfId="0" applyFont="1" applyFill="1" applyBorder="1" applyProtection="1">
      <protection locked="0"/>
    </xf>
    <xf numFmtId="165" fontId="4" fillId="0" borderId="23" xfId="0" applyNumberFormat="1" applyFont="1" applyFill="1" applyBorder="1" applyAlignment="1" applyProtection="1">
      <alignment horizontal="left"/>
      <protection locked="0"/>
    </xf>
    <xf numFmtId="167" fontId="4" fillId="0" borderId="18" xfId="0" applyFont="1" applyFill="1" applyBorder="1" applyProtection="1">
      <protection locked="0"/>
    </xf>
    <xf numFmtId="10" fontId="2" fillId="0" borderId="19" xfId="2" applyNumberFormat="1" applyFont="1" applyFill="1" applyBorder="1" applyAlignment="1" applyProtection="1">
      <alignment horizontal="center" shrinkToFit="1"/>
      <protection locked="0"/>
    </xf>
    <xf numFmtId="167" fontId="2" fillId="0" borderId="0" xfId="0" applyFont="1" applyFill="1" applyBorder="1" applyProtection="1">
      <protection locked="0"/>
    </xf>
    <xf numFmtId="167" fontId="4" fillId="0" borderId="0" xfId="0" applyFont="1" applyFill="1" applyBorder="1" applyProtection="1">
      <protection locked="0"/>
    </xf>
    <xf numFmtId="167" fontId="5" fillId="0" borderId="0" xfId="0" applyFont="1" applyFill="1" applyBorder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7" fontId="1" fillId="0" borderId="0" xfId="0" applyFont="1" applyFill="1" applyBorder="1" applyProtection="1">
      <protection locked="0"/>
    </xf>
    <xf numFmtId="167" fontId="2" fillId="0" borderId="15" xfId="0" applyFont="1" applyFill="1" applyBorder="1" applyAlignment="1" applyProtection="1">
      <alignment vertical="center"/>
      <protection locked="0"/>
    </xf>
    <xf numFmtId="167" fontId="2" fillId="0" borderId="34" xfId="0" applyFont="1" applyFill="1" applyBorder="1" applyProtection="1">
      <protection locked="0"/>
    </xf>
    <xf numFmtId="10" fontId="2" fillId="2" borderId="10" xfId="2" applyNumberFormat="1" applyFont="1" applyFill="1" applyBorder="1" applyAlignment="1" applyProtection="1">
      <alignment shrinkToFit="1"/>
      <protection locked="0"/>
    </xf>
    <xf numFmtId="10" fontId="2" fillId="2" borderId="12" xfId="2" applyNumberFormat="1" applyFont="1" applyFill="1" applyBorder="1" applyAlignment="1" applyProtection="1">
      <alignment horizontal="center" shrinkToFit="1"/>
      <protection locked="0"/>
    </xf>
    <xf numFmtId="10" fontId="2" fillId="2" borderId="13" xfId="2" applyNumberFormat="1" applyFont="1" applyFill="1" applyBorder="1" applyAlignment="1" applyProtection="1">
      <alignment horizontal="center" shrinkToFit="1"/>
      <protection locked="0"/>
    </xf>
    <xf numFmtId="10" fontId="2" fillId="2" borderId="11" xfId="2" applyNumberFormat="1" applyFont="1" applyFill="1" applyBorder="1" applyAlignment="1" applyProtection="1">
      <alignment horizontal="center" shrinkToFit="1"/>
      <protection locked="0"/>
    </xf>
    <xf numFmtId="10" fontId="2" fillId="2" borderId="23" xfId="2" applyNumberFormat="1" applyFont="1" applyFill="1" applyBorder="1" applyAlignment="1" applyProtection="1">
      <alignment shrinkToFit="1"/>
      <protection locked="0"/>
    </xf>
    <xf numFmtId="10" fontId="2" fillId="2" borderId="20" xfId="2" applyNumberFormat="1" applyFont="1" applyFill="1" applyBorder="1" applyAlignment="1" applyProtection="1">
      <alignment horizontal="center" shrinkToFit="1"/>
      <protection locked="0"/>
    </xf>
    <xf numFmtId="10" fontId="2" fillId="2" borderId="21" xfId="2" applyNumberFormat="1" applyFont="1" applyFill="1" applyBorder="1" applyAlignment="1" applyProtection="1">
      <alignment horizontal="center" shrinkToFit="1"/>
      <protection locked="0"/>
    </xf>
    <xf numFmtId="10" fontId="2" fillId="2" borderId="24" xfId="2" applyNumberFormat="1" applyFont="1" applyFill="1" applyBorder="1" applyAlignment="1" applyProtection="1">
      <alignment horizontal="center" shrinkToFit="1"/>
      <protection locked="0"/>
    </xf>
    <xf numFmtId="10" fontId="2" fillId="2" borderId="18" xfId="2" applyNumberFormat="1" applyFont="1" applyFill="1" applyBorder="1" applyAlignment="1" applyProtection="1">
      <alignment shrinkToFit="1"/>
      <protection locked="0"/>
    </xf>
    <xf numFmtId="10" fontId="2" fillId="2" borderId="35" xfId="2" applyNumberFormat="1" applyFont="1" applyFill="1" applyBorder="1" applyAlignment="1" applyProtection="1">
      <alignment horizontal="center" shrinkToFit="1"/>
      <protection locked="0"/>
    </xf>
    <xf numFmtId="10" fontId="2" fillId="2" borderId="27" xfId="2" applyNumberFormat="1" applyFont="1" applyFill="1" applyBorder="1" applyAlignment="1" applyProtection="1">
      <alignment horizontal="center" shrinkToFit="1"/>
      <protection locked="0"/>
    </xf>
    <xf numFmtId="10" fontId="2" fillId="2" borderId="19" xfId="2" applyNumberFormat="1" applyFont="1" applyFill="1" applyBorder="1" applyAlignment="1" applyProtection="1">
      <alignment horizontal="center" shrinkToFit="1"/>
      <protection locked="0"/>
    </xf>
    <xf numFmtId="167" fontId="2" fillId="0" borderId="0" xfId="0" applyFont="1" applyAlignment="1" applyProtection="1">
      <alignment shrinkToFit="1"/>
      <protection locked="0"/>
    </xf>
    <xf numFmtId="167" fontId="2" fillId="0" borderId="0" xfId="0" applyFont="1" applyFill="1" applyBorder="1" applyAlignment="1" applyProtection="1">
      <alignment shrinkToFit="1"/>
      <protection locked="0"/>
    </xf>
    <xf numFmtId="167" fontId="2" fillId="3" borderId="5" xfId="0" applyFont="1" applyFill="1" applyBorder="1" applyAlignment="1" applyProtection="1">
      <alignment horizontal="center" shrinkToFit="1"/>
      <protection locked="0"/>
    </xf>
    <xf numFmtId="167" fontId="2" fillId="0" borderId="32" xfId="0" applyFont="1" applyBorder="1" applyAlignment="1" applyProtection="1">
      <alignment horizontal="center" shrinkToFit="1"/>
      <protection locked="0"/>
    </xf>
    <xf numFmtId="167" fontId="2" fillId="0" borderId="33" xfId="0" applyFont="1" applyBorder="1" applyAlignment="1" applyProtection="1">
      <alignment horizontal="center" shrinkToFit="1"/>
      <protection locked="0"/>
    </xf>
    <xf numFmtId="167" fontId="2" fillId="0" borderId="6" xfId="0" applyFont="1" applyBorder="1" applyAlignment="1" applyProtection="1">
      <alignment horizontal="center" shrinkToFit="1"/>
      <protection locked="0"/>
    </xf>
    <xf numFmtId="167" fontId="2" fillId="0" borderId="7" xfId="0" applyFont="1" applyFill="1" applyBorder="1" applyAlignment="1" applyProtection="1">
      <alignment horizontal="center" shrinkToFit="1"/>
      <protection locked="0"/>
    </xf>
    <xf numFmtId="167" fontId="2" fillId="0" borderId="15" xfId="0" applyFont="1" applyFill="1" applyBorder="1" applyAlignment="1" applyProtection="1">
      <alignment horizontal="center" shrinkToFit="1"/>
      <protection locked="0"/>
    </xf>
    <xf numFmtId="167" fontId="2" fillId="0" borderId="34" xfId="0" applyFont="1" applyFill="1" applyBorder="1" applyAlignment="1" applyProtection="1">
      <alignment horizontal="center" shrinkToFit="1"/>
      <protection locked="0"/>
    </xf>
    <xf numFmtId="10" fontId="2" fillId="0" borderId="10" xfId="2" applyNumberFormat="1" applyFont="1" applyFill="1" applyBorder="1" applyAlignment="1" applyProtection="1">
      <alignment shrinkToFit="1"/>
      <protection locked="0"/>
    </xf>
    <xf numFmtId="10" fontId="2" fillId="0" borderId="12" xfId="2" applyNumberFormat="1" applyFont="1" applyFill="1" applyBorder="1" applyAlignment="1" applyProtection="1">
      <alignment horizontal="center" shrinkToFit="1"/>
      <protection locked="0"/>
    </xf>
    <xf numFmtId="10" fontId="2" fillId="0" borderId="13" xfId="2" applyNumberFormat="1" applyFont="1" applyFill="1" applyBorder="1" applyAlignment="1" applyProtection="1">
      <alignment horizontal="center" shrinkToFit="1"/>
      <protection locked="0"/>
    </xf>
    <xf numFmtId="10" fontId="2" fillId="0" borderId="11" xfId="2" applyNumberFormat="1" applyFont="1" applyFill="1" applyBorder="1" applyAlignment="1" applyProtection="1">
      <alignment horizontal="center" shrinkToFit="1"/>
      <protection locked="0"/>
    </xf>
    <xf numFmtId="10" fontId="2" fillId="0" borderId="23" xfId="2" applyNumberFormat="1" applyFont="1" applyFill="1" applyBorder="1" applyAlignment="1" applyProtection="1">
      <alignment shrinkToFit="1"/>
      <protection locked="0"/>
    </xf>
    <xf numFmtId="10" fontId="2" fillId="0" borderId="20" xfId="2" applyNumberFormat="1" applyFont="1" applyFill="1" applyBorder="1" applyAlignment="1" applyProtection="1">
      <alignment horizontal="center" shrinkToFit="1"/>
      <protection locked="0"/>
    </xf>
    <xf numFmtId="10" fontId="2" fillId="0" borderId="21" xfId="2" applyNumberFormat="1" applyFont="1" applyFill="1" applyBorder="1" applyAlignment="1" applyProtection="1">
      <alignment horizontal="center" shrinkToFit="1"/>
      <protection locked="0"/>
    </xf>
    <xf numFmtId="10" fontId="2" fillId="0" borderId="24" xfId="2" applyNumberFormat="1" applyFont="1" applyFill="1" applyBorder="1" applyAlignment="1" applyProtection="1">
      <alignment horizontal="center" shrinkToFit="1"/>
      <protection locked="0"/>
    </xf>
    <xf numFmtId="10" fontId="2" fillId="0" borderId="18" xfId="2" applyNumberFormat="1" applyFont="1" applyFill="1" applyBorder="1" applyAlignment="1" applyProtection="1">
      <alignment shrinkToFit="1"/>
      <protection locked="0"/>
    </xf>
    <xf numFmtId="10" fontId="2" fillId="0" borderId="35" xfId="2" applyNumberFormat="1" applyFont="1" applyFill="1" applyBorder="1" applyAlignment="1" applyProtection="1">
      <alignment horizontal="center" shrinkToFit="1"/>
      <protection locked="0"/>
    </xf>
    <xf numFmtId="10" fontId="2" fillId="0" borderId="27" xfId="2" applyNumberFormat="1" applyFont="1" applyFill="1" applyBorder="1" applyAlignment="1" applyProtection="1">
      <alignment horizontal="center" shrinkToFit="1"/>
      <protection locked="0"/>
    </xf>
    <xf numFmtId="167" fontId="1" fillId="0" borderId="0" xfId="0" applyFont="1" applyProtection="1">
      <protection locked="0"/>
    </xf>
    <xf numFmtId="167" fontId="1" fillId="0" borderId="0" xfId="0" applyFont="1"/>
    <xf numFmtId="167" fontId="1" fillId="0" borderId="5" xfId="0" applyFont="1" applyBorder="1" applyAlignment="1" applyProtection="1">
      <alignment horizontal="center" shrinkToFit="1"/>
      <protection locked="0"/>
    </xf>
    <xf numFmtId="44" fontId="1" fillId="0" borderId="8" xfId="0" applyNumberFormat="1" applyFont="1" applyFill="1" applyBorder="1" applyAlignment="1" applyProtection="1">
      <alignment shrinkToFit="1"/>
      <protection locked="0"/>
    </xf>
    <xf numFmtId="167" fontId="1" fillId="0" borderId="6" xfId="0" applyFont="1" applyFill="1" applyBorder="1" applyAlignment="1" applyProtection="1">
      <alignment horizontal="center" shrinkToFit="1"/>
      <protection locked="0"/>
    </xf>
    <xf numFmtId="10" fontId="1" fillId="2" borderId="31" xfId="2" applyNumberFormat="1" applyFont="1" applyFill="1" applyBorder="1" applyAlignment="1" applyProtection="1">
      <alignment horizontal="center"/>
      <protection locked="0"/>
    </xf>
    <xf numFmtId="10" fontId="1" fillId="0" borderId="9" xfId="2" applyNumberFormat="1" applyFont="1" applyFill="1" applyBorder="1" applyProtection="1">
      <protection locked="0"/>
    </xf>
    <xf numFmtId="10" fontId="1" fillId="0" borderId="31" xfId="2" applyNumberFormat="1" applyFont="1" applyFill="1" applyBorder="1" applyAlignment="1" applyProtection="1">
      <alignment horizontal="center" shrinkToFit="1"/>
      <protection locked="0"/>
    </xf>
    <xf numFmtId="167" fontId="1" fillId="0" borderId="37" xfId="0" applyFont="1" applyBorder="1" applyProtection="1">
      <protection locked="0"/>
    </xf>
    <xf numFmtId="167" fontId="1" fillId="0" borderId="10" xfId="0" applyFont="1" applyBorder="1" applyAlignment="1" applyProtection="1">
      <alignment horizontal="center" vertical="center" shrinkToFit="1"/>
      <protection locked="0"/>
    </xf>
    <xf numFmtId="167" fontId="1" fillId="0" borderId="11" xfId="0" applyFont="1" applyBorder="1" applyAlignment="1" applyProtection="1">
      <alignment horizontal="center" vertical="center" shrinkToFit="1"/>
      <protection locked="0"/>
    </xf>
    <xf numFmtId="167" fontId="1" fillId="0" borderId="14" xfId="0" applyFont="1" applyFill="1" applyBorder="1" applyAlignment="1" applyProtection="1">
      <alignment horizontal="center"/>
      <protection locked="0"/>
    </xf>
    <xf numFmtId="167" fontId="1" fillId="0" borderId="22" xfId="0" applyFont="1" applyFill="1" applyBorder="1" applyAlignment="1" applyProtection="1">
      <alignment horizontal="center"/>
      <protection locked="0"/>
    </xf>
    <xf numFmtId="43" fontId="1" fillId="2" borderId="8" xfId="0" applyNumberFormat="1" applyFont="1" applyFill="1" applyBorder="1" applyAlignment="1" applyProtection="1">
      <alignment horizontal="center" shrinkToFit="1"/>
      <protection locked="0"/>
    </xf>
    <xf numFmtId="167" fontId="1" fillId="0" borderId="14" xfId="0" applyFont="1" applyBorder="1" applyAlignment="1" applyProtection="1">
      <alignment horizontal="center"/>
      <protection locked="0"/>
    </xf>
    <xf numFmtId="167" fontId="1" fillId="0" borderId="8" xfId="0" applyFont="1" applyBorder="1" applyAlignment="1" applyProtection="1">
      <alignment horizontal="center"/>
      <protection locked="0"/>
    </xf>
    <xf numFmtId="167" fontId="1" fillId="0" borderId="15" xfId="0" applyFont="1" applyFill="1" applyBorder="1" applyAlignment="1" applyProtection="1">
      <protection locked="0"/>
    </xf>
    <xf numFmtId="167" fontId="1" fillId="0" borderId="40" xfId="0" applyFont="1" applyFill="1" applyBorder="1" applyAlignment="1" applyProtection="1">
      <protection locked="0"/>
    </xf>
    <xf numFmtId="167" fontId="1" fillId="0" borderId="17" xfId="0" applyFont="1" applyFill="1" applyBorder="1" applyAlignment="1" applyProtection="1">
      <protection locked="0"/>
    </xf>
    <xf numFmtId="167" fontId="1" fillId="0" borderId="40" xfId="0" applyFont="1" applyFill="1" applyBorder="1" applyAlignment="1" applyProtection="1">
      <alignment shrinkToFit="1"/>
      <protection locked="0"/>
    </xf>
    <xf numFmtId="167" fontId="1" fillId="0" borderId="18" xfId="0" applyFont="1" applyFill="1" applyBorder="1" applyAlignment="1" applyProtection="1">
      <alignment horizontal="center"/>
      <protection locked="0"/>
    </xf>
    <xf numFmtId="167" fontId="1" fillId="0" borderId="19" xfId="0" applyFont="1" applyBorder="1" applyAlignment="1" applyProtection="1">
      <alignment horizontal="center"/>
      <protection locked="0"/>
    </xf>
    <xf numFmtId="167" fontId="1" fillId="0" borderId="16" xfId="0" applyFont="1" applyFill="1" applyBorder="1" applyAlignment="1" applyProtection="1">
      <alignment horizontal="center"/>
      <protection locked="0"/>
    </xf>
    <xf numFmtId="44" fontId="1" fillId="0" borderId="22" xfId="1" applyFont="1" applyFill="1" applyBorder="1" applyAlignment="1" applyProtection="1">
      <protection locked="0"/>
    </xf>
    <xf numFmtId="167" fontId="1" fillId="0" borderId="16" xfId="0" applyFont="1" applyBorder="1" applyAlignment="1" applyProtection="1">
      <alignment horizontal="center"/>
      <protection locked="0"/>
    </xf>
    <xf numFmtId="167" fontId="1" fillId="0" borderId="22" xfId="0" applyFont="1" applyBorder="1" applyAlignment="1" applyProtection="1">
      <alignment horizontal="center"/>
      <protection locked="0"/>
    </xf>
    <xf numFmtId="166" fontId="4" fillId="0" borderId="21" xfId="0" applyNumberFormat="1" applyFont="1" applyFill="1" applyBorder="1" applyAlignment="1" applyProtection="1">
      <alignment shrinkToFit="1"/>
      <protection locked="0"/>
    </xf>
    <xf numFmtId="165" fontId="4" fillId="0" borderId="24" xfId="0" applyNumberFormat="1" applyFont="1" applyFill="1" applyBorder="1" applyAlignment="1" applyProtection="1">
      <alignment horizontal="center"/>
      <protection locked="0"/>
    </xf>
    <xf numFmtId="167" fontId="1" fillId="0" borderId="25" xfId="0" applyFont="1" applyFill="1" applyBorder="1" applyAlignment="1" applyProtection="1">
      <alignment horizontal="center"/>
      <protection locked="0"/>
    </xf>
    <xf numFmtId="10" fontId="1" fillId="0" borderId="26" xfId="2" applyNumberFormat="1" applyFont="1" applyFill="1" applyBorder="1" applyProtection="1">
      <protection locked="0"/>
    </xf>
    <xf numFmtId="167" fontId="1" fillId="0" borderId="15" xfId="0" applyFont="1" applyFill="1" applyBorder="1" applyAlignment="1" applyProtection="1">
      <alignment horizontal="center"/>
      <protection locked="0"/>
    </xf>
    <xf numFmtId="164" fontId="4" fillId="0" borderId="21" xfId="0" applyNumberFormat="1" applyFont="1" applyFill="1" applyBorder="1" applyAlignment="1" applyProtection="1">
      <alignment shrinkToFit="1"/>
      <protection locked="0"/>
    </xf>
    <xf numFmtId="167" fontId="4" fillId="0" borderId="24" xfId="0" applyFont="1" applyFill="1" applyBorder="1" applyProtection="1">
      <protection locked="0"/>
    </xf>
    <xf numFmtId="167" fontId="1" fillId="0" borderId="23" xfId="0" applyFont="1" applyFill="1" applyBorder="1" applyAlignment="1" applyProtection="1">
      <alignment horizontal="center"/>
      <protection locked="0"/>
    </xf>
    <xf numFmtId="10" fontId="1" fillId="0" borderId="24" xfId="2" applyNumberFormat="1" applyFont="1" applyBorder="1" applyProtection="1">
      <protection locked="0"/>
    </xf>
    <xf numFmtId="44" fontId="1" fillId="0" borderId="22" xfId="1" applyFont="1" applyFill="1" applyBorder="1" applyProtection="1">
      <protection locked="0"/>
    </xf>
    <xf numFmtId="167" fontId="1" fillId="0" borderId="22" xfId="0" applyFont="1" applyBorder="1" applyAlignment="1" applyProtection="1">
      <alignment shrinkToFit="1"/>
      <protection locked="0"/>
    </xf>
    <xf numFmtId="166" fontId="4" fillId="0" borderId="24" xfId="0" applyNumberFormat="1" applyFont="1" applyFill="1" applyBorder="1" applyProtection="1">
      <protection locked="0"/>
    </xf>
    <xf numFmtId="167" fontId="1" fillId="0" borderId="34" xfId="0" applyFont="1" applyFill="1" applyBorder="1" applyAlignment="1" applyProtection="1">
      <alignment horizontal="center"/>
      <protection locked="0"/>
    </xf>
    <xf numFmtId="167" fontId="1" fillId="0" borderId="28" xfId="0" applyFont="1" applyFill="1" applyBorder="1" applyProtection="1">
      <protection locked="0"/>
    </xf>
    <xf numFmtId="167" fontId="1" fillId="0" borderId="38" xfId="0" applyFont="1" applyBorder="1" applyProtection="1">
      <protection locked="0"/>
    </xf>
    <xf numFmtId="167" fontId="1" fillId="0" borderId="29" xfId="0" applyFont="1" applyBorder="1" applyAlignment="1" applyProtection="1">
      <alignment horizontal="center"/>
      <protection locked="0"/>
    </xf>
    <xf numFmtId="167" fontId="4" fillId="0" borderId="21" xfId="1" applyNumberFormat="1" applyFont="1" applyFill="1" applyBorder="1" applyAlignment="1" applyProtection="1">
      <alignment shrinkToFit="1"/>
      <protection locked="0"/>
    </xf>
    <xf numFmtId="167" fontId="1" fillId="0" borderId="0" xfId="0" applyFont="1" applyAlignment="1" applyProtection="1">
      <alignment horizontal="center"/>
      <protection locked="0"/>
    </xf>
    <xf numFmtId="167" fontId="1" fillId="0" borderId="30" xfId="0" applyFont="1" applyBorder="1" applyAlignment="1" applyProtection="1">
      <alignment horizontal="center"/>
      <protection locked="0"/>
    </xf>
    <xf numFmtId="165" fontId="5" fillId="0" borderId="24" xfId="0" applyNumberFormat="1" applyFont="1" applyFill="1" applyBorder="1" applyAlignment="1" applyProtection="1">
      <alignment horizontal="center"/>
      <protection locked="0"/>
    </xf>
    <xf numFmtId="10" fontId="1" fillId="0" borderId="19" xfId="2" applyNumberFormat="1" applyFont="1" applyBorder="1" applyProtection="1">
      <protection locked="0"/>
    </xf>
    <xf numFmtId="44" fontId="4" fillId="0" borderId="0" xfId="1" applyNumberFormat="1" applyFont="1" applyFill="1" applyBorder="1" applyAlignment="1" applyProtection="1">
      <alignment shrinkToFit="1"/>
      <protection locked="0"/>
    </xf>
    <xf numFmtId="167" fontId="1" fillId="0" borderId="0" xfId="0" applyFont="1" applyFill="1" applyProtection="1">
      <protection locked="0"/>
    </xf>
    <xf numFmtId="10" fontId="1" fillId="0" borderId="31" xfId="0" applyNumberFormat="1" applyFont="1" applyBorder="1" applyProtection="1">
      <protection locked="0"/>
    </xf>
    <xf numFmtId="165" fontId="4" fillId="0" borderId="21" xfId="0" applyNumberFormat="1" applyFont="1" applyFill="1" applyBorder="1" applyAlignment="1" applyProtection="1">
      <alignment shrinkToFit="1"/>
      <protection locked="0"/>
    </xf>
    <xf numFmtId="167" fontId="5" fillId="0" borderId="24" xfId="0" applyFont="1" applyFill="1" applyBorder="1" applyAlignment="1" applyProtection="1">
      <alignment horizontal="center"/>
      <protection locked="0"/>
    </xf>
    <xf numFmtId="10" fontId="1" fillId="0" borderId="0" xfId="2" applyNumberFormat="1" applyFont="1" applyBorder="1" applyProtection="1">
      <protection locked="0"/>
    </xf>
    <xf numFmtId="165" fontId="4" fillId="0" borderId="24" xfId="0" applyNumberFormat="1" applyFont="1" applyFill="1" applyBorder="1" applyProtection="1">
      <protection locked="0"/>
    </xf>
    <xf numFmtId="165" fontId="4" fillId="0" borderId="0" xfId="0" applyNumberFormat="1" applyFont="1" applyFill="1" applyBorder="1" applyAlignment="1" applyProtection="1">
      <alignment shrinkToFit="1"/>
      <protection locked="0"/>
    </xf>
    <xf numFmtId="10" fontId="4" fillId="0" borderId="0" xfId="0" applyNumberFormat="1" applyFont="1" applyFill="1" applyBorder="1" applyAlignment="1" applyProtection="1">
      <alignment shrinkToFit="1"/>
      <protection locked="0"/>
    </xf>
    <xf numFmtId="167" fontId="4" fillId="0" borderId="24" xfId="0" applyFont="1" applyFill="1" applyBorder="1" applyAlignment="1" applyProtection="1">
      <alignment horizontal="center"/>
      <protection locked="0"/>
    </xf>
    <xf numFmtId="10" fontId="4" fillId="0" borderId="21" xfId="0" applyNumberFormat="1" applyFont="1" applyFill="1" applyBorder="1" applyAlignment="1" applyProtection="1">
      <alignment horizontal="right" shrinkToFit="1"/>
      <protection locked="0"/>
    </xf>
    <xf numFmtId="165" fontId="4" fillId="0" borderId="27" xfId="0" applyNumberFormat="1" applyFont="1" applyFill="1" applyBorder="1" applyAlignment="1" applyProtection="1">
      <alignment horizontal="right" shrinkToFit="1"/>
      <protection locked="0"/>
    </xf>
    <xf numFmtId="165" fontId="4" fillId="0" borderId="19" xfId="0" applyNumberFormat="1" applyFont="1" applyFill="1" applyBorder="1" applyProtection="1">
      <protection locked="0"/>
    </xf>
    <xf numFmtId="167" fontId="5" fillId="0" borderId="0" xfId="0" applyFont="1" applyFill="1" applyBorder="1" applyAlignment="1" applyProtection="1">
      <alignment horizontal="center"/>
      <protection locked="0"/>
    </xf>
    <xf numFmtId="165" fontId="1" fillId="0" borderId="8" xfId="0" applyNumberFormat="1" applyFont="1" applyFill="1" applyBorder="1" applyAlignment="1" applyProtection="1">
      <alignment shrinkToFit="1"/>
      <protection locked="0"/>
    </xf>
    <xf numFmtId="10" fontId="1" fillId="0" borderId="31" xfId="2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Border="1" applyAlignment="1" applyProtection="1">
      <alignment shrinkToFit="1"/>
      <protection locked="0"/>
    </xf>
    <xf numFmtId="166" fontId="4" fillId="0" borderId="0" xfId="0" applyNumberFormat="1" applyFont="1" applyFill="1" applyBorder="1" applyAlignment="1" applyProtection="1">
      <alignment shrinkToFit="1"/>
      <protection locked="0"/>
    </xf>
    <xf numFmtId="167" fontId="4" fillId="0" borderId="0" xfId="0" applyFont="1" applyFill="1" applyBorder="1" applyAlignment="1" applyProtection="1">
      <alignment horizontal="center"/>
      <protection locked="0"/>
    </xf>
    <xf numFmtId="167" fontId="1" fillId="0" borderId="0" xfId="0" applyFont="1" applyFill="1" applyBorder="1"/>
    <xf numFmtId="10" fontId="4" fillId="0" borderId="0" xfId="0" applyNumberFormat="1" applyFont="1" applyFill="1" applyBorder="1" applyAlignment="1" applyProtection="1">
      <alignment horizontal="right" shrinkToFit="1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right" shrinkToFit="1"/>
      <protection locked="0"/>
    </xf>
    <xf numFmtId="165" fontId="4" fillId="0" borderId="0" xfId="0" applyNumberFormat="1" applyFont="1" applyFill="1" applyBorder="1" applyProtection="1">
      <protection locked="0"/>
    </xf>
    <xf numFmtId="167" fontId="0" fillId="0" borderId="0" xfId="0" applyBorder="1" applyProtection="1"/>
    <xf numFmtId="167" fontId="0" fillId="0" borderId="0" xfId="0" applyFill="1" applyBorder="1" applyProtection="1"/>
    <xf numFmtId="167" fontId="0" fillId="0" borderId="0" xfId="0" applyProtection="1"/>
    <xf numFmtId="167" fontId="2" fillId="0" borderId="0" xfId="0" applyFont="1" applyFill="1" applyBorder="1" applyAlignment="1" applyProtection="1"/>
    <xf numFmtId="167" fontId="2" fillId="0" borderId="0" xfId="0" applyFont="1" applyFill="1" applyBorder="1" applyAlignment="1" applyProtection="1">
      <alignment horizontal="left"/>
    </xf>
    <xf numFmtId="167" fontId="2" fillId="0" borderId="0" xfId="0" applyFont="1" applyProtection="1"/>
    <xf numFmtId="167" fontId="0" fillId="0" borderId="0" xfId="0" applyBorder="1" applyProtection="1">
      <protection locked="0"/>
    </xf>
    <xf numFmtId="167" fontId="0" fillId="0" borderId="0" xfId="0" applyProtection="1">
      <protection locked="0"/>
    </xf>
    <xf numFmtId="167" fontId="2" fillId="0" borderId="0" xfId="0" applyFont="1" applyFill="1" applyBorder="1" applyAlignment="1" applyProtection="1">
      <protection locked="0"/>
    </xf>
    <xf numFmtId="167" fontId="0" fillId="0" borderId="0" xfId="0" applyFill="1" applyBorder="1" applyProtection="1">
      <protection locked="0"/>
    </xf>
    <xf numFmtId="167" fontId="2" fillId="4" borderId="4" xfId="0" applyFont="1" applyFill="1" applyBorder="1" applyAlignment="1" applyProtection="1">
      <alignment horizontal="center"/>
      <protection locked="0"/>
    </xf>
    <xf numFmtId="1" fontId="1" fillId="0" borderId="50" xfId="8" applyNumberFormat="1" applyFont="1" applyBorder="1" applyAlignment="1" applyProtection="1">
      <alignment horizontal="center"/>
      <protection locked="0"/>
    </xf>
    <xf numFmtId="1" fontId="1" fillId="0" borderId="51" xfId="8" applyNumberFormat="1" applyFont="1" applyBorder="1" applyAlignment="1" applyProtection="1">
      <alignment horizontal="center"/>
      <protection locked="0"/>
    </xf>
    <xf numFmtId="1" fontId="1" fillId="0" borderId="52" xfId="8" applyNumberFormat="1" applyFont="1" applyBorder="1" applyAlignment="1" applyProtection="1">
      <alignment horizontal="center"/>
      <protection locked="0"/>
    </xf>
    <xf numFmtId="167" fontId="3" fillId="0" borderId="31" xfId="0" applyFont="1" applyFill="1" applyBorder="1" applyAlignment="1" applyProtection="1">
      <protection locked="0"/>
    </xf>
    <xf numFmtId="10" fontId="1" fillId="0" borderId="55" xfId="2" applyNumberFormat="1" applyFill="1" applyBorder="1" applyProtection="1">
      <protection locked="0"/>
    </xf>
    <xf numFmtId="167" fontId="1" fillId="4" borderId="22" xfId="15" applyFont="1" applyFill="1" applyBorder="1" applyAlignment="1" applyProtection="1">
      <alignment horizontal="center" shrinkToFit="1"/>
      <protection locked="0"/>
    </xf>
    <xf numFmtId="167" fontId="14" fillId="0" borderId="22" xfId="0" applyFont="1" applyFill="1" applyBorder="1" applyAlignment="1" applyProtection="1">
      <protection locked="0"/>
    </xf>
    <xf numFmtId="165" fontId="15" fillId="0" borderId="22" xfId="0" applyNumberFormat="1" applyFont="1" applyFill="1" applyBorder="1" applyAlignment="1" applyProtection="1">
      <alignment horizontal="center"/>
      <protection locked="0"/>
    </xf>
    <xf numFmtId="167" fontId="4" fillId="0" borderId="14" xfId="0" applyFont="1" applyFill="1" applyBorder="1" applyProtection="1">
      <protection locked="0"/>
    </xf>
    <xf numFmtId="166" fontId="15" fillId="0" borderId="7" xfId="0" applyNumberFormat="1" applyFont="1" applyFill="1" applyBorder="1" applyAlignment="1" applyProtection="1">
      <alignment shrinkToFit="1"/>
      <protection locked="0"/>
    </xf>
    <xf numFmtId="167" fontId="4" fillId="0" borderId="8" xfId="0" applyFont="1" applyFill="1" applyBorder="1" applyProtection="1">
      <protection locked="0"/>
    </xf>
    <xf numFmtId="10" fontId="0" fillId="0" borderId="50" xfId="2" applyNumberFormat="1" applyFont="1" applyFill="1" applyBorder="1" applyProtection="1">
      <protection locked="0"/>
    </xf>
    <xf numFmtId="10" fontId="0" fillId="0" borderId="59" xfId="2" applyNumberFormat="1" applyFont="1" applyFill="1" applyBorder="1" applyProtection="1">
      <protection locked="0"/>
    </xf>
    <xf numFmtId="10" fontId="0" fillId="0" borderId="3" xfId="2" applyNumberFormat="1" applyFont="1" applyFill="1" applyBorder="1" applyProtection="1">
      <protection locked="0"/>
    </xf>
    <xf numFmtId="167" fontId="16" fillId="0" borderId="22" xfId="0" applyFont="1" applyFill="1" applyBorder="1" applyProtection="1">
      <protection locked="0"/>
    </xf>
    <xf numFmtId="167" fontId="4" fillId="0" borderId="16" xfId="0" applyFont="1" applyFill="1" applyBorder="1" applyProtection="1">
      <protection locked="0"/>
    </xf>
    <xf numFmtId="164" fontId="15" fillId="0" borderId="15" xfId="0" applyNumberFormat="1" applyFont="1" applyFill="1" applyBorder="1" applyAlignment="1" applyProtection="1">
      <alignment shrinkToFit="1"/>
      <protection locked="0"/>
    </xf>
    <xf numFmtId="167" fontId="4" fillId="0" borderId="22" xfId="0" applyFont="1" applyFill="1" applyBorder="1" applyProtection="1">
      <protection locked="0"/>
    </xf>
    <xf numFmtId="166" fontId="17" fillId="0" borderId="22" xfId="0" applyNumberFormat="1" applyFont="1" applyFill="1" applyBorder="1" applyAlignment="1" applyProtection="1">
      <alignment horizontal="center"/>
      <protection locked="0"/>
    </xf>
    <xf numFmtId="166" fontId="15" fillId="0" borderId="15" xfId="0" applyNumberFormat="1" applyFont="1" applyFill="1" applyBorder="1" applyAlignment="1" applyProtection="1">
      <alignment shrinkToFit="1"/>
      <protection locked="0"/>
    </xf>
    <xf numFmtId="0" fontId="2" fillId="0" borderId="0" xfId="16" applyFont="1" applyFill="1" applyBorder="1" applyAlignment="1" applyProtection="1">
      <alignment horizontal="center" vertical="center" wrapText="1" shrinkToFit="1"/>
      <protection locked="0"/>
    </xf>
    <xf numFmtId="0" fontId="2" fillId="0" borderId="0" xfId="16" applyFont="1" applyFill="1" applyBorder="1" applyAlignment="1" applyProtection="1">
      <alignment horizontal="center" vertical="center" shrinkToFit="1"/>
      <protection locked="0"/>
    </xf>
    <xf numFmtId="167" fontId="15" fillId="0" borderId="15" xfId="1" applyNumberFormat="1" applyFont="1" applyFill="1" applyBorder="1" applyAlignment="1" applyProtection="1">
      <alignment shrinkToFit="1"/>
      <protection locked="0"/>
    </xf>
    <xf numFmtId="165" fontId="17" fillId="0" borderId="22" xfId="0" applyNumberFormat="1" applyFont="1" applyFill="1" applyBorder="1" applyAlignment="1" applyProtection="1">
      <alignment horizontal="center"/>
      <protection locked="0"/>
    </xf>
    <xf numFmtId="167" fontId="5" fillId="0" borderId="16" xfId="0" applyFont="1" applyFill="1" applyBorder="1" applyProtection="1">
      <protection locked="0"/>
    </xf>
    <xf numFmtId="167" fontId="5" fillId="0" borderId="22" xfId="0" applyFont="1" applyFill="1" applyBorder="1" applyProtection="1">
      <protection locked="0"/>
    </xf>
    <xf numFmtId="167" fontId="0" fillId="0" borderId="0" xfId="0" applyFill="1" applyBorder="1" applyAlignment="1" applyProtection="1">
      <protection locked="0"/>
    </xf>
    <xf numFmtId="167" fontId="4" fillId="0" borderId="16" xfId="0" applyFont="1" applyFill="1" applyBorder="1" applyAlignment="1" applyProtection="1">
      <protection locked="0"/>
    </xf>
    <xf numFmtId="44" fontId="16" fillId="0" borderId="15" xfId="1" applyNumberFormat="1" applyFont="1" applyFill="1" applyBorder="1" applyAlignment="1" applyProtection="1">
      <alignment shrinkToFit="1"/>
      <protection locked="0"/>
    </xf>
    <xf numFmtId="167" fontId="4" fillId="0" borderId="22" xfId="0" applyFont="1" applyFill="1" applyBorder="1" applyAlignment="1" applyProtection="1">
      <protection locked="0"/>
    </xf>
    <xf numFmtId="167" fontId="0" fillId="0" borderId="0" xfId="0" applyAlignment="1" applyProtection="1">
      <protection locked="0"/>
    </xf>
    <xf numFmtId="1" fontId="1" fillId="0" borderId="33" xfId="8" applyNumberFormat="1" applyFont="1" applyBorder="1" applyAlignment="1" applyProtection="1">
      <alignment horizontal="center"/>
      <protection locked="0"/>
    </xf>
    <xf numFmtId="1" fontId="1" fillId="0" borderId="6" xfId="8" applyNumberFormat="1" applyFont="1" applyBorder="1" applyAlignment="1" applyProtection="1">
      <alignment horizontal="center"/>
      <protection locked="0"/>
    </xf>
    <xf numFmtId="167" fontId="17" fillId="0" borderId="22" xfId="0" applyFont="1" applyFill="1" applyBorder="1" applyAlignment="1" applyProtection="1">
      <alignment horizontal="center"/>
      <protection locked="0"/>
    </xf>
    <xf numFmtId="165" fontId="16" fillId="0" borderId="15" xfId="0" applyNumberFormat="1" applyFont="1" applyFill="1" applyBorder="1" applyAlignment="1" applyProtection="1">
      <alignment shrinkToFit="1"/>
      <protection locked="0"/>
    </xf>
    <xf numFmtId="167" fontId="1" fillId="4" borderId="17" xfId="15" applyFont="1" applyFill="1" applyBorder="1" applyAlignment="1" applyProtection="1">
      <alignment horizontal="center" shrinkToFit="1"/>
      <protection locked="0"/>
    </xf>
    <xf numFmtId="167" fontId="1" fillId="0" borderId="60" xfId="0" applyFont="1" applyBorder="1" applyAlignment="1" applyProtection="1">
      <alignment vertical="center" shrinkToFit="1"/>
      <protection locked="0"/>
    </xf>
    <xf numFmtId="167" fontId="1" fillId="4" borderId="38" xfId="15" applyFont="1" applyFill="1" applyBorder="1" applyAlignment="1" applyProtection="1">
      <alignment horizontal="center" shrinkToFit="1"/>
      <protection locked="0"/>
    </xf>
    <xf numFmtId="165" fontId="4" fillId="0" borderId="16" xfId="0" applyNumberFormat="1" applyFont="1" applyFill="1" applyBorder="1" applyAlignment="1" applyProtection="1">
      <alignment horizontal="left"/>
      <protection locked="0"/>
    </xf>
    <xf numFmtId="165" fontId="4" fillId="0" borderId="22" xfId="0" applyNumberFormat="1" applyFont="1" applyFill="1" applyBorder="1" applyAlignment="1" applyProtection="1">
      <alignment horizontal="left"/>
      <protection locked="0"/>
    </xf>
    <xf numFmtId="165" fontId="16" fillId="0" borderId="28" xfId="0" applyNumberFormat="1" applyFont="1" applyFill="1" applyBorder="1" applyProtection="1">
      <protection locked="0"/>
    </xf>
    <xf numFmtId="167" fontId="4" fillId="0" borderId="29" xfId="0" applyFont="1" applyFill="1" applyBorder="1" applyProtection="1">
      <protection locked="0"/>
    </xf>
    <xf numFmtId="165" fontId="16" fillId="0" borderId="34" xfId="0" applyNumberFormat="1" applyFont="1" applyFill="1" applyBorder="1" applyAlignment="1" applyProtection="1">
      <alignment horizontal="right" shrinkToFit="1"/>
      <protection locked="0"/>
    </xf>
    <xf numFmtId="167" fontId="4" fillId="0" borderId="28" xfId="0" applyFont="1" applyFill="1" applyBorder="1" applyProtection="1">
      <protection locked="0"/>
    </xf>
    <xf numFmtId="8" fontId="2" fillId="0" borderId="0" xfId="8" applyNumberFormat="1" applyFont="1" applyFill="1" applyBorder="1" applyAlignment="1" applyProtection="1">
      <alignment horizontal="center" vertical="center" shrinkToFit="1"/>
      <protection locked="0"/>
    </xf>
    <xf numFmtId="167" fontId="0" fillId="0" borderId="0" xfId="0" applyFill="1" applyProtection="1">
      <protection locked="0"/>
    </xf>
    <xf numFmtId="168" fontId="12" fillId="0" borderId="0" xfId="8" applyNumberFormat="1" applyFont="1" applyFill="1" applyBorder="1" applyAlignment="1" applyProtection="1">
      <alignment horizontal="center" vertical="center" shrinkToFit="1"/>
      <protection locked="0"/>
    </xf>
    <xf numFmtId="168" fontId="12" fillId="0" borderId="0" xfId="8" applyNumberFormat="1" applyFont="1" applyFill="1" applyBorder="1" applyAlignment="1" applyProtection="1">
      <alignment shrinkToFit="1"/>
      <protection locked="0"/>
    </xf>
    <xf numFmtId="168" fontId="12" fillId="0" borderId="0" xfId="8" applyNumberFormat="1" applyFont="1" applyBorder="1" applyAlignment="1" applyProtection="1">
      <alignment shrinkToFit="1"/>
      <protection locked="0"/>
    </xf>
    <xf numFmtId="168" fontId="18" fillId="0" borderId="0" xfId="8" applyNumberFormat="1" applyFont="1" applyFill="1" applyBorder="1" applyAlignment="1" applyProtection="1">
      <alignment shrinkToFit="1"/>
      <protection locked="0"/>
    </xf>
    <xf numFmtId="167" fontId="14" fillId="0" borderId="0" xfId="0" applyFont="1" applyFill="1" applyBorder="1" applyAlignment="1" applyProtection="1">
      <protection locked="0"/>
    </xf>
    <xf numFmtId="165" fontId="15" fillId="0" borderId="0" xfId="0" applyNumberFormat="1" applyFont="1" applyFill="1" applyBorder="1" applyAlignment="1" applyProtection="1">
      <alignment horizontal="center"/>
      <protection locked="0"/>
    </xf>
    <xf numFmtId="167" fontId="16" fillId="0" borderId="0" xfId="0" applyFont="1" applyFill="1" applyBorder="1" applyProtection="1">
      <protection locked="0"/>
    </xf>
    <xf numFmtId="166" fontId="16" fillId="0" borderId="0" xfId="0" applyNumberFormat="1" applyFont="1" applyFill="1" applyBorder="1" applyProtection="1">
      <protection locked="0"/>
    </xf>
    <xf numFmtId="167" fontId="2" fillId="0" borderId="5" xfId="0" applyFont="1" applyFill="1" applyBorder="1" applyAlignment="1" applyProtection="1"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167" fontId="0" fillId="0" borderId="20" xfId="0" applyFill="1" applyBorder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169" fontId="1" fillId="0" borderId="0" xfId="8" applyNumberFormat="1" applyFont="1" applyFill="1" applyBorder="1" applyAlignment="1" applyProtection="1">
      <alignment horizontal="center"/>
      <protection locked="0"/>
    </xf>
    <xf numFmtId="167" fontId="17" fillId="0" borderId="0" xfId="0" applyFont="1" applyFill="1" applyBorder="1" applyAlignment="1" applyProtection="1">
      <alignment horizontal="center"/>
      <protection locked="0"/>
    </xf>
    <xf numFmtId="167" fontId="0" fillId="0" borderId="24" xfId="0" applyFill="1" applyBorder="1" applyProtection="1">
      <protection locked="0"/>
    </xf>
    <xf numFmtId="169" fontId="1" fillId="0" borderId="0" xfId="8" applyNumberFormat="1" applyFill="1" applyBorder="1" applyAlignment="1" applyProtection="1">
      <alignment horizontal="center"/>
      <protection locked="0"/>
    </xf>
    <xf numFmtId="165" fontId="16" fillId="0" borderId="0" xfId="0" applyNumberFormat="1" applyFont="1" applyFill="1" applyBorder="1" applyProtection="1">
      <protection locked="0"/>
    </xf>
    <xf numFmtId="167" fontId="0" fillId="0" borderId="35" xfId="0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67" fontId="0" fillId="0" borderId="0" xfId="0" applyFill="1" applyBorder="1" applyAlignment="1" applyProtection="1"/>
    <xf numFmtId="167" fontId="0" fillId="0" borderId="0" xfId="0" applyFill="1" applyProtection="1"/>
    <xf numFmtId="167" fontId="0" fillId="0" borderId="12" xfId="0" applyFill="1" applyBorder="1" applyProtection="1">
      <protection locked="0"/>
    </xf>
    <xf numFmtId="167" fontId="1" fillId="0" borderId="50" xfId="0" applyFont="1" applyBorder="1" applyAlignment="1" applyProtection="1">
      <alignment vertical="center" shrinkToFit="1"/>
      <protection locked="0"/>
    </xf>
    <xf numFmtId="167" fontId="1" fillId="0" borderId="52" xfId="0" applyFont="1" applyBorder="1" applyAlignment="1" applyProtection="1">
      <alignment vertical="center" shrinkToFit="1"/>
      <protection locked="0"/>
    </xf>
    <xf numFmtId="10" fontId="0" fillId="0" borderId="3" xfId="2" applyNumberFormat="1" applyFont="1" applyBorder="1" applyProtection="1">
      <protection locked="0"/>
    </xf>
    <xf numFmtId="167" fontId="2" fillId="0" borderId="50" xfId="0" applyFont="1" applyFill="1" applyBorder="1" applyAlignment="1" applyProtection="1">
      <protection locked="0"/>
    </xf>
    <xf numFmtId="167" fontId="1" fillId="4" borderId="28" xfId="15" applyFont="1" applyFill="1" applyBorder="1" applyAlignment="1" applyProtection="1">
      <alignment horizontal="center" shrinkToFit="1"/>
      <protection locked="0"/>
    </xf>
    <xf numFmtId="10" fontId="1" fillId="5" borderId="50" xfId="12" applyNumberFormat="1" applyFont="1" applyFill="1" applyBorder="1" applyAlignment="1" applyProtection="1">
      <alignment horizontal="center"/>
      <protection locked="0"/>
    </xf>
    <xf numFmtId="167" fontId="3" fillId="0" borderId="31" xfId="0" applyFont="1" applyBorder="1" applyAlignment="1" applyProtection="1">
      <alignment horizontal="center"/>
      <protection locked="0"/>
    </xf>
    <xf numFmtId="2" fontId="15" fillId="0" borderId="22" xfId="0" applyNumberFormat="1" applyFont="1" applyFill="1" applyBorder="1" applyAlignment="1" applyProtection="1">
      <alignment shrinkToFit="1"/>
      <protection locked="0"/>
    </xf>
    <xf numFmtId="2" fontId="15" fillId="0" borderId="8" xfId="0" applyNumberFormat="1" applyFont="1" applyFill="1" applyBorder="1" applyAlignment="1" applyProtection="1">
      <alignment shrinkToFit="1"/>
      <protection locked="0"/>
    </xf>
    <xf numFmtId="2" fontId="15" fillId="0" borderId="22" xfId="1" applyNumberFormat="1" applyFont="1" applyFill="1" applyBorder="1" applyAlignment="1" applyProtection="1">
      <alignment shrinkToFit="1"/>
      <protection locked="0"/>
    </xf>
    <xf numFmtId="2" fontId="16" fillId="0" borderId="22" xfId="1" applyNumberFormat="1" applyFont="1" applyFill="1" applyBorder="1" applyAlignment="1" applyProtection="1">
      <alignment shrinkToFit="1"/>
      <protection locked="0"/>
    </xf>
    <xf numFmtId="2" fontId="16" fillId="0" borderId="22" xfId="0" applyNumberFormat="1" applyFont="1" applyFill="1" applyBorder="1" applyAlignment="1" applyProtection="1">
      <alignment shrinkToFit="1"/>
      <protection locked="0"/>
    </xf>
    <xf numFmtId="10" fontId="0" fillId="0" borderId="0" xfId="0" applyNumberFormat="1" applyProtection="1">
      <protection locked="0"/>
    </xf>
    <xf numFmtId="167" fontId="3" fillId="0" borderId="31" xfId="0" applyFont="1" applyBorder="1" applyProtection="1">
      <protection locked="0"/>
    </xf>
    <xf numFmtId="167" fontId="4" fillId="0" borderId="41" xfId="0" applyFont="1" applyFill="1" applyBorder="1" applyProtection="1">
      <protection locked="0"/>
    </xf>
    <xf numFmtId="165" fontId="16" fillId="0" borderId="56" xfId="0" applyNumberFormat="1" applyFont="1" applyFill="1" applyBorder="1" applyAlignment="1" applyProtection="1">
      <alignment shrinkToFit="1"/>
      <protection locked="0"/>
    </xf>
    <xf numFmtId="167" fontId="4" fillId="0" borderId="71" xfId="0" applyFont="1" applyFill="1" applyBorder="1" applyProtection="1">
      <protection locked="0"/>
    </xf>
    <xf numFmtId="2" fontId="16" fillId="0" borderId="71" xfId="0" applyNumberFormat="1" applyFont="1" applyFill="1" applyBorder="1" applyAlignment="1" applyProtection="1">
      <alignment shrinkToFit="1"/>
      <protection locked="0"/>
    </xf>
    <xf numFmtId="167" fontId="4" fillId="0" borderId="40" xfId="0" applyFont="1" applyFill="1" applyBorder="1" applyProtection="1">
      <protection locked="0"/>
    </xf>
    <xf numFmtId="10" fontId="15" fillId="0" borderId="70" xfId="0" applyNumberFormat="1" applyFont="1" applyFill="1" applyBorder="1" applyAlignment="1" applyProtection="1">
      <alignment horizontal="right" shrinkToFit="1"/>
      <protection locked="0"/>
    </xf>
    <xf numFmtId="167" fontId="4" fillId="0" borderId="55" xfId="0" applyFont="1" applyFill="1" applyBorder="1" applyProtection="1">
      <protection locked="0"/>
    </xf>
    <xf numFmtId="10" fontId="15" fillId="0" borderId="55" xfId="0" applyNumberFormat="1" applyFont="1" applyFill="1" applyBorder="1" applyAlignment="1" applyProtection="1">
      <alignment horizontal="right" shrinkToFit="1"/>
      <protection locked="0"/>
    </xf>
    <xf numFmtId="167" fontId="0" fillId="0" borderId="1" xfId="0" applyBorder="1" applyProtection="1">
      <protection locked="0"/>
    </xf>
    <xf numFmtId="167" fontId="20" fillId="0" borderId="31" xfId="0" applyFont="1" applyBorder="1" applyProtection="1">
      <protection locked="0"/>
    </xf>
    <xf numFmtId="165" fontId="16" fillId="0" borderId="31" xfId="0" applyNumberFormat="1" applyFont="1" applyFill="1" applyBorder="1" applyAlignment="1" applyProtection="1">
      <alignment shrinkToFit="1"/>
      <protection locked="0"/>
    </xf>
    <xf numFmtId="167" fontId="0" fillId="0" borderId="31" xfId="0" applyBorder="1" applyAlignment="1" applyProtection="1">
      <protection locked="0"/>
    </xf>
    <xf numFmtId="165" fontId="17" fillId="0" borderId="28" xfId="0" applyNumberFormat="1" applyFont="1" applyFill="1" applyBorder="1" applyAlignment="1" applyProtection="1">
      <alignment horizontal="center"/>
      <protection locked="0"/>
    </xf>
    <xf numFmtId="167" fontId="17" fillId="0" borderId="8" xfId="0" applyFont="1" applyFill="1" applyBorder="1" applyAlignment="1" applyProtection="1">
      <alignment horizontal="center"/>
      <protection locked="0"/>
    </xf>
    <xf numFmtId="10" fontId="1" fillId="0" borderId="22" xfId="2" applyNumberFormat="1" applyFont="1" applyBorder="1" applyProtection="1">
      <protection locked="0"/>
    </xf>
    <xf numFmtId="10" fontId="0" fillId="0" borderId="15" xfId="2" applyNumberFormat="1" applyFont="1" applyBorder="1" applyProtection="1">
      <protection locked="0"/>
    </xf>
    <xf numFmtId="167" fontId="0" fillId="0" borderId="0" xfId="0" applyFill="1" applyBorder="1" applyAlignment="1" applyProtection="1">
      <alignment horizontal="center"/>
      <protection locked="0"/>
    </xf>
    <xf numFmtId="0" fontId="0" fillId="0" borderId="3" xfId="2" applyNumberFormat="1" applyFont="1" applyBorder="1" applyAlignment="1" applyProtection="1">
      <alignment horizontal="center"/>
      <protection locked="0"/>
    </xf>
    <xf numFmtId="167" fontId="2" fillId="0" borderId="0" xfId="0" applyFont="1" applyFill="1" applyBorder="1" applyAlignment="1" applyProtection="1">
      <alignment horizontal="center"/>
      <protection locked="0"/>
    </xf>
    <xf numFmtId="167" fontId="1" fillId="0" borderId="0" xfId="15" applyFont="1" applyFill="1" applyBorder="1" applyAlignment="1" applyProtection="1">
      <alignment horizontal="center" shrinkToFit="1"/>
      <protection locked="0"/>
    </xf>
    <xf numFmtId="167" fontId="1" fillId="0" borderId="30" xfId="0" applyFont="1" applyBorder="1" applyAlignment="1" applyProtection="1">
      <alignment vertical="center" shrinkToFit="1"/>
      <protection locked="0"/>
    </xf>
    <xf numFmtId="167" fontId="1" fillId="0" borderId="58" xfId="0" applyFont="1" applyBorder="1" applyAlignment="1" applyProtection="1">
      <alignment vertical="center" shrinkToFit="1"/>
      <protection locked="0"/>
    </xf>
    <xf numFmtId="167" fontId="1" fillId="4" borderId="16" xfId="15" applyFont="1" applyFill="1" applyBorder="1" applyAlignment="1" applyProtection="1">
      <alignment horizontal="center" shrinkToFit="1"/>
      <protection locked="0"/>
    </xf>
    <xf numFmtId="167" fontId="1" fillId="4" borderId="29" xfId="15" applyFont="1" applyFill="1" applyBorder="1" applyAlignment="1" applyProtection="1">
      <alignment horizontal="center" shrinkToFit="1"/>
      <protection locked="0"/>
    </xf>
    <xf numFmtId="10" fontId="1" fillId="0" borderId="57" xfId="2" applyNumberFormat="1" applyFont="1" applyFill="1" applyBorder="1" applyProtection="1">
      <protection locked="0"/>
    </xf>
    <xf numFmtId="10" fontId="0" fillId="0" borderId="51" xfId="2" applyNumberFormat="1" applyFont="1" applyFill="1" applyBorder="1" applyProtection="1">
      <protection locked="0"/>
    </xf>
    <xf numFmtId="10" fontId="0" fillId="0" borderId="52" xfId="2" applyNumberFormat="1" applyFont="1" applyFill="1" applyBorder="1" applyProtection="1">
      <protection locked="0"/>
    </xf>
    <xf numFmtId="10" fontId="0" fillId="0" borderId="0" xfId="2" applyNumberFormat="1" applyFont="1" applyFill="1" applyBorder="1" applyAlignment="1" applyProtection="1">
      <alignment shrinkToFit="1"/>
      <protection locked="0"/>
    </xf>
    <xf numFmtId="167" fontId="0" fillId="0" borderId="0" xfId="0" applyAlignment="1" applyProtection="1">
      <alignment shrinkToFit="1"/>
      <protection locked="0"/>
    </xf>
    <xf numFmtId="167" fontId="0" fillId="0" borderId="0" xfId="0" applyFill="1" applyBorder="1" applyAlignment="1" applyProtection="1">
      <alignment shrinkToFit="1"/>
      <protection locked="0"/>
    </xf>
    <xf numFmtId="1" fontId="1" fillId="0" borderId="50" xfId="8" applyNumberFormat="1" applyFont="1" applyBorder="1" applyAlignment="1" applyProtection="1">
      <alignment horizontal="center" shrinkToFit="1"/>
      <protection locked="0"/>
    </xf>
    <xf numFmtId="1" fontId="1" fillId="0" borderId="51" xfId="8" applyNumberFormat="1" applyFont="1" applyBorder="1" applyAlignment="1" applyProtection="1">
      <alignment horizontal="center" shrinkToFit="1"/>
      <protection locked="0"/>
    </xf>
    <xf numFmtId="1" fontId="1" fillId="0" borderId="52" xfId="8" applyNumberFormat="1" applyFont="1" applyBorder="1" applyAlignment="1" applyProtection="1">
      <alignment horizontal="center" shrinkToFit="1"/>
      <protection locked="0"/>
    </xf>
    <xf numFmtId="10" fontId="0" fillId="0" borderId="3" xfId="2" applyNumberFormat="1" applyFont="1" applyFill="1" applyBorder="1" applyAlignment="1" applyProtection="1">
      <alignment shrinkToFit="1"/>
      <protection locked="0"/>
    </xf>
    <xf numFmtId="167" fontId="1" fillId="0" borderId="28" xfId="0" applyFont="1" applyBorder="1" applyProtection="1">
      <protection locked="0"/>
    </xf>
    <xf numFmtId="167" fontId="1" fillId="0" borderId="0" xfId="0" applyFont="1" applyBorder="1" applyProtection="1"/>
    <xf numFmtId="10" fontId="35" fillId="0" borderId="71" xfId="2" applyNumberFormat="1" applyFont="1" applyFill="1" applyBorder="1" applyAlignment="1" applyProtection="1">
      <alignment vertical="center"/>
      <protection locked="0"/>
    </xf>
    <xf numFmtId="10" fontId="35" fillId="0" borderId="31" xfId="2" applyNumberFormat="1" applyFont="1" applyFill="1" applyBorder="1" applyAlignment="1" applyProtection="1">
      <alignment vertical="center"/>
      <protection locked="0"/>
    </xf>
    <xf numFmtId="10" fontId="35" fillId="0" borderId="7" xfId="2" applyNumberFormat="1" applyFont="1" applyFill="1" applyBorder="1" applyAlignment="1" applyProtection="1">
      <alignment vertical="center"/>
      <protection locked="0"/>
    </xf>
    <xf numFmtId="167" fontId="2" fillId="0" borderId="10" xfId="0" applyFont="1" applyBorder="1" applyAlignment="1" applyProtection="1">
      <alignment horizontal="center"/>
      <protection locked="0"/>
    </xf>
    <xf numFmtId="167" fontId="2" fillId="0" borderId="13" xfId="0" applyFont="1" applyBorder="1" applyAlignment="1" applyProtection="1">
      <alignment horizontal="center" vertical="center" shrinkToFit="1"/>
      <protection locked="0"/>
    </xf>
    <xf numFmtId="0" fontId="0" fillId="0" borderId="18" xfId="0" applyNumberFormat="1" applyBorder="1" applyAlignment="1" applyProtection="1">
      <alignment horizontal="center"/>
      <protection locked="0"/>
    </xf>
    <xf numFmtId="0" fontId="2" fillId="0" borderId="27" xfId="0" applyNumberFormat="1" applyFont="1" applyFill="1" applyBorder="1" applyAlignment="1" applyProtection="1">
      <alignment horizontal="center"/>
      <protection locked="0"/>
    </xf>
    <xf numFmtId="167" fontId="2" fillId="0" borderId="94" xfId="0" applyFont="1" applyBorder="1" applyAlignment="1" applyProtection="1">
      <alignment horizontal="center" vertical="center" shrinkToFit="1"/>
      <protection locked="0"/>
    </xf>
    <xf numFmtId="0" fontId="2" fillId="0" borderId="95" xfId="0" applyNumberFormat="1" applyFont="1" applyBorder="1" applyAlignment="1" applyProtection="1">
      <alignment horizontal="center"/>
      <protection locked="0"/>
    </xf>
    <xf numFmtId="167" fontId="2" fillId="0" borderId="0" xfId="0" applyFont="1" applyFill="1" applyBorder="1" applyAlignment="1" applyProtection="1">
      <alignment vertical="center"/>
      <protection locked="0"/>
    </xf>
    <xf numFmtId="167" fontId="25" fillId="0" borderId="0" xfId="0" applyFont="1" applyFill="1" applyBorder="1" applyAlignment="1" applyProtection="1">
      <alignment vertical="center"/>
      <protection locked="0"/>
    </xf>
    <xf numFmtId="10" fontId="0" fillId="0" borderId="0" xfId="2" applyNumberFormat="1" applyFont="1" applyFill="1" applyBorder="1" applyAlignment="1" applyProtection="1">
      <alignment horizontal="center" vertical="center" shrinkToFit="1"/>
      <protection locked="0"/>
    </xf>
    <xf numFmtId="10" fontId="0" fillId="0" borderId="0" xfId="2" applyNumberFormat="1" applyFont="1" applyFill="1" applyBorder="1" applyProtection="1">
      <protection locked="0"/>
    </xf>
    <xf numFmtId="0" fontId="0" fillId="0" borderId="22" xfId="0" applyNumberFormat="1" applyFill="1" applyBorder="1" applyAlignment="1" applyProtection="1">
      <alignment horizontal="center"/>
      <protection locked="0"/>
    </xf>
    <xf numFmtId="167" fontId="2" fillId="0" borderId="8" xfId="0" applyFont="1" applyBorder="1" applyAlignment="1" applyProtection="1">
      <alignment horizontal="center"/>
      <protection locked="0"/>
    </xf>
    <xf numFmtId="10" fontId="0" fillId="0" borderId="28" xfId="2" applyNumberFormat="1" applyFont="1" applyBorder="1" applyAlignment="1" applyProtection="1">
      <alignment horizontal="center" vertical="center"/>
      <protection locked="0"/>
    </xf>
    <xf numFmtId="17" fontId="12" fillId="0" borderId="0" xfId="19" applyNumberFormat="1" applyFont="1" applyFill="1" applyBorder="1" applyAlignment="1" applyProtection="1">
      <alignment horizontal="center"/>
      <protection locked="0"/>
    </xf>
    <xf numFmtId="10" fontId="1" fillId="0" borderId="0" xfId="12" applyNumberFormat="1" applyFont="1" applyFill="1" applyBorder="1" applyAlignment="1" applyProtection="1">
      <alignment horizontal="center"/>
      <protection locked="0"/>
    </xf>
    <xf numFmtId="0" fontId="1" fillId="0" borderId="0" xfId="19" applyFill="1" applyBorder="1" applyProtection="1">
      <protection locked="0"/>
    </xf>
    <xf numFmtId="10" fontId="0" fillId="0" borderId="0" xfId="2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8" fontId="0" fillId="0" borderId="0" xfId="27" applyNumberFormat="1" applyFont="1" applyProtection="1">
      <protection locked="0"/>
    </xf>
    <xf numFmtId="10" fontId="1" fillId="5" borderId="31" xfId="12" applyNumberFormat="1" applyFont="1" applyFill="1" applyBorder="1" applyAlignment="1" applyProtection="1">
      <alignment horizontal="center"/>
      <protection locked="0"/>
    </xf>
    <xf numFmtId="167" fontId="2" fillId="0" borderId="52" xfId="0" applyFont="1" applyFill="1" applyBorder="1" applyAlignment="1" applyProtection="1">
      <alignment shrinkToFit="1"/>
      <protection locked="0"/>
    </xf>
    <xf numFmtId="16" fontId="2" fillId="0" borderId="21" xfId="19" applyNumberFormat="1" applyFont="1" applyFill="1" applyBorder="1" applyAlignment="1" applyProtection="1">
      <alignment horizontal="left"/>
      <protection locked="0"/>
    </xf>
    <xf numFmtId="0" fontId="0" fillId="0" borderId="22" xfId="8" applyNumberFormat="1" applyFont="1" applyFill="1" applyBorder="1" applyAlignment="1" applyProtection="1">
      <alignment horizontal="center" vertical="center"/>
      <protection locked="0"/>
    </xf>
    <xf numFmtId="0" fontId="0" fillId="0" borderId="28" xfId="8" applyNumberFormat="1" applyFont="1" applyFill="1" applyBorder="1" applyAlignment="1" applyProtection="1">
      <alignment horizontal="center" vertical="center"/>
      <protection locked="0"/>
    </xf>
    <xf numFmtId="0" fontId="0" fillId="0" borderId="8" xfId="8" applyNumberFormat="1" applyFont="1" applyFill="1" applyBorder="1" applyAlignment="1" applyProtection="1">
      <alignment horizontal="center" vertical="center"/>
      <protection locked="0"/>
    </xf>
    <xf numFmtId="167" fontId="1" fillId="0" borderId="30" xfId="0" applyFont="1" applyBorder="1" applyProtection="1">
      <protection locked="0"/>
    </xf>
    <xf numFmtId="167" fontId="0" fillId="0" borderId="0" xfId="0" applyBorder="1" applyAlignment="1" applyProtection="1">
      <alignment horizontal="center" shrinkToFit="1"/>
      <protection locked="0"/>
    </xf>
    <xf numFmtId="167" fontId="0" fillId="0" borderId="0" xfId="0" applyBorder="1" applyAlignment="1" applyProtection="1">
      <alignment horizontal="center"/>
      <protection locked="0"/>
    </xf>
    <xf numFmtId="0" fontId="0" fillId="0" borderId="0" xfId="8" applyNumberFormat="1" applyFont="1" applyBorder="1" applyAlignment="1" applyProtection="1">
      <alignment horizontal="center"/>
      <protection locked="0"/>
    </xf>
    <xf numFmtId="167" fontId="0" fillId="4" borderId="4" xfId="0" applyFill="1" applyBorder="1" applyAlignment="1" applyProtection="1">
      <alignment horizontal="center"/>
      <protection locked="0"/>
    </xf>
    <xf numFmtId="167" fontId="1" fillId="4" borderId="7" xfId="15" applyFont="1" applyFill="1" applyBorder="1" applyAlignment="1" applyProtection="1">
      <alignment horizontal="center" shrinkToFit="1"/>
      <protection locked="0"/>
    </xf>
    <xf numFmtId="167" fontId="1" fillId="4" borderId="15" xfId="15" applyFont="1" applyFill="1" applyBorder="1" applyAlignment="1" applyProtection="1">
      <alignment horizontal="center" shrinkToFit="1"/>
      <protection locked="0"/>
    </xf>
    <xf numFmtId="1" fontId="1" fillId="0" borderId="98" xfId="8" applyNumberFormat="1" applyFont="1" applyBorder="1" applyAlignment="1" applyProtection="1">
      <alignment horizontal="center"/>
      <protection locked="0"/>
    </xf>
    <xf numFmtId="10" fontId="0" fillId="0" borderId="72" xfId="2" applyNumberFormat="1" applyFont="1" applyFill="1" applyBorder="1" applyProtection="1">
      <protection locked="0"/>
    </xf>
    <xf numFmtId="167" fontId="0" fillId="0" borderId="0" xfId="0" applyBorder="1" applyAlignment="1" applyProtection="1">
      <alignment vertical="center" shrinkToFit="1"/>
      <protection locked="0"/>
    </xf>
    <xf numFmtId="1" fontId="1" fillId="0" borderId="0" xfId="8" applyNumberFormat="1" applyFont="1" applyFill="1" applyBorder="1" applyAlignment="1" applyProtection="1">
      <alignment horizontal="center"/>
      <protection locked="0"/>
    </xf>
    <xf numFmtId="167" fontId="1" fillId="4" borderId="56" xfId="15" applyFont="1" applyFill="1" applyBorder="1" applyAlignment="1" applyProtection="1">
      <alignment horizontal="center" shrinkToFit="1"/>
      <protection locked="0"/>
    </xf>
    <xf numFmtId="10" fontId="0" fillId="0" borderId="1" xfId="2" applyNumberFormat="1" applyFont="1" applyBorder="1" applyProtection="1">
      <protection locked="0"/>
    </xf>
    <xf numFmtId="44" fontId="0" fillId="0" borderId="5" xfId="0" applyNumberFormat="1" applyFill="1" applyBorder="1" applyAlignment="1" applyProtection="1">
      <alignment shrinkToFit="1"/>
      <protection locked="0"/>
    </xf>
    <xf numFmtId="167" fontId="0" fillId="0" borderId="94" xfId="0" applyFill="1" applyBorder="1" applyAlignment="1" applyProtection="1">
      <alignment horizontal="center"/>
      <protection locked="0"/>
    </xf>
    <xf numFmtId="2" fontId="0" fillId="0" borderId="90" xfId="0" applyNumberFormat="1" applyFill="1" applyBorder="1" applyAlignment="1" applyProtection="1">
      <protection locked="0"/>
    </xf>
    <xf numFmtId="167" fontId="1" fillId="4" borderId="9" xfId="15" applyFont="1" applyFill="1" applyBorder="1" applyAlignment="1" applyProtection="1">
      <alignment horizontal="center" shrinkToFit="1"/>
      <protection locked="0"/>
    </xf>
    <xf numFmtId="167" fontId="0" fillId="0" borderId="50" xfId="0" applyBorder="1" applyAlignment="1" applyProtection="1">
      <alignment horizontal="center" shrinkToFit="1"/>
      <protection locked="0"/>
    </xf>
    <xf numFmtId="167" fontId="0" fillId="0" borderId="51" xfId="0" applyBorder="1" applyAlignment="1" applyProtection="1">
      <alignment horizontal="center" shrinkToFit="1"/>
      <protection locked="0"/>
    </xf>
    <xf numFmtId="167" fontId="0" fillId="0" borderId="52" xfId="0" applyBorder="1" applyAlignment="1" applyProtection="1">
      <alignment horizontal="center" shrinkToFit="1"/>
      <protection locked="0"/>
    </xf>
    <xf numFmtId="0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167" fontId="26" fillId="0" borderId="0" xfId="0" applyFont="1" applyFill="1" applyBorder="1" applyAlignment="1" applyProtection="1">
      <alignment horizontal="left" vertical="center"/>
      <protection locked="0"/>
    </xf>
    <xf numFmtId="167" fontId="26" fillId="0" borderId="0" xfId="0" applyFont="1" applyFill="1" applyBorder="1" applyAlignment="1" applyProtection="1">
      <alignment horizontal="left"/>
      <protection locked="0"/>
    </xf>
    <xf numFmtId="167" fontId="26" fillId="0" borderId="0" xfId="0" applyFont="1" applyFill="1" applyBorder="1" applyAlignment="1" applyProtection="1">
      <alignment vertical="center"/>
      <protection locked="0"/>
    </xf>
    <xf numFmtId="0" fontId="2" fillId="0" borderId="31" xfId="0" applyNumberFormat="1" applyFont="1" applyBorder="1" applyAlignment="1" applyProtection="1">
      <alignment horizontal="center"/>
      <protection locked="0"/>
    </xf>
    <xf numFmtId="10" fontId="0" fillId="0" borderId="0" xfId="2" applyNumberFormat="1" applyFont="1" applyFill="1" applyProtection="1">
      <protection locked="0"/>
    </xf>
    <xf numFmtId="44" fontId="0" fillId="0" borderId="0" xfId="1" applyFont="1" applyFill="1" applyProtection="1">
      <protection locked="0"/>
    </xf>
    <xf numFmtId="10" fontId="15" fillId="0" borderId="0" xfId="2" applyNumberFormat="1" applyFont="1" applyFill="1" applyBorder="1" applyProtection="1"/>
    <xf numFmtId="167" fontId="2" fillId="0" borderId="4" xfId="0" applyFont="1" applyBorder="1" applyAlignment="1" applyProtection="1">
      <alignment horizontal="center"/>
      <protection locked="0"/>
    </xf>
    <xf numFmtId="171" fontId="0" fillId="0" borderId="39" xfId="27" applyNumberFormat="1" applyFont="1" applyFill="1" applyBorder="1" applyAlignment="1" applyProtection="1">
      <alignment horizontal="center" vertical="center"/>
      <protection locked="0"/>
    </xf>
    <xf numFmtId="167" fontId="0" fillId="0" borderId="39" xfId="0" applyFill="1" applyBorder="1" applyAlignment="1" applyProtection="1">
      <alignment horizontal="center" vertical="center"/>
      <protection locked="0"/>
    </xf>
    <xf numFmtId="10" fontId="0" fillId="0" borderId="30" xfId="2" applyNumberFormat="1" applyFont="1" applyFill="1" applyBorder="1" applyAlignment="1" applyProtection="1">
      <alignment horizontal="center" vertical="center"/>
      <protection locked="0"/>
    </xf>
    <xf numFmtId="167" fontId="0" fillId="0" borderId="2" xfId="0" applyBorder="1" applyProtection="1"/>
    <xf numFmtId="167" fontId="0" fillId="0" borderId="3" xfId="0" applyBorder="1" applyProtection="1"/>
    <xf numFmtId="167" fontId="2" fillId="0" borderId="2" xfId="0" applyFont="1" applyBorder="1" applyProtection="1"/>
    <xf numFmtId="167" fontId="0" fillId="6" borderId="73" xfId="0" applyFill="1" applyBorder="1" applyProtection="1">
      <protection locked="0"/>
    </xf>
    <xf numFmtId="167" fontId="1" fillId="6" borderId="0" xfId="0" applyFont="1" applyFill="1" applyBorder="1" applyAlignment="1" applyProtection="1">
      <alignment horizontal="center"/>
      <protection locked="0"/>
    </xf>
    <xf numFmtId="167" fontId="1" fillId="6" borderId="0" xfId="0" applyFont="1" applyFill="1" applyBorder="1" applyAlignment="1" applyProtection="1">
      <protection locked="0"/>
    </xf>
    <xf numFmtId="167" fontId="0" fillId="6" borderId="76" xfId="0" applyFill="1" applyBorder="1" applyAlignment="1" applyProtection="1">
      <protection locked="0"/>
    </xf>
    <xf numFmtId="167" fontId="0" fillId="6" borderId="0" xfId="0" applyFill="1" applyBorder="1" applyAlignment="1" applyProtection="1">
      <alignment horizontal="center"/>
      <protection locked="0"/>
    </xf>
    <xf numFmtId="10" fontId="0" fillId="6" borderId="0" xfId="2" applyNumberFormat="1" applyFont="1" applyFill="1" applyBorder="1" applyAlignment="1" applyProtection="1">
      <alignment horizontal="right"/>
      <protection locked="0"/>
    </xf>
    <xf numFmtId="167" fontId="0" fillId="6" borderId="0" xfId="0" applyFill="1" applyBorder="1" applyProtection="1">
      <protection locked="0"/>
    </xf>
    <xf numFmtId="10" fontId="1" fillId="6" borderId="0" xfId="2" applyNumberFormat="1" applyFont="1" applyFill="1" applyBorder="1" applyAlignment="1" applyProtection="1">
      <alignment horizontal="right"/>
      <protection locked="0"/>
    </xf>
    <xf numFmtId="167" fontId="0" fillId="6" borderId="0" xfId="0" applyFill="1" applyAlignment="1" applyProtection="1">
      <alignment horizontal="center"/>
      <protection locked="0"/>
    </xf>
    <xf numFmtId="167" fontId="0" fillId="6" borderId="76" xfId="0" applyFill="1" applyBorder="1" applyProtection="1">
      <protection locked="0"/>
    </xf>
    <xf numFmtId="167" fontId="0" fillId="6" borderId="73" xfId="0" applyFill="1" applyBorder="1" applyProtection="1"/>
    <xf numFmtId="167" fontId="1" fillId="6" borderId="0" xfId="0" applyFont="1" applyFill="1" applyBorder="1" applyAlignment="1" applyProtection="1">
      <alignment horizontal="center"/>
    </xf>
    <xf numFmtId="10" fontId="1" fillId="6" borderId="0" xfId="2" applyNumberFormat="1" applyFont="1" applyFill="1" applyBorder="1" applyAlignment="1" applyProtection="1">
      <alignment horizontal="right"/>
    </xf>
    <xf numFmtId="167" fontId="0" fillId="6" borderId="0" xfId="0" applyFill="1" applyBorder="1" applyProtection="1"/>
    <xf numFmtId="167" fontId="0" fillId="6" borderId="0" xfId="0" applyFill="1" applyBorder="1" applyAlignment="1" applyProtection="1">
      <alignment horizontal="center"/>
    </xf>
    <xf numFmtId="10" fontId="0" fillId="6" borderId="0" xfId="2" applyNumberFormat="1" applyFont="1" applyFill="1" applyBorder="1" applyAlignment="1" applyProtection="1">
      <alignment horizontal="right"/>
    </xf>
    <xf numFmtId="10" fontId="0" fillId="6" borderId="0" xfId="2" applyNumberFormat="1" applyFont="1" applyFill="1" applyBorder="1" applyAlignment="1" applyProtection="1">
      <alignment horizontal="center"/>
      <protection locked="0"/>
    </xf>
    <xf numFmtId="167" fontId="0" fillId="6" borderId="76" xfId="0" applyFill="1" applyBorder="1" applyProtection="1"/>
    <xf numFmtId="10" fontId="1" fillId="6" borderId="0" xfId="2" applyNumberFormat="1" applyFont="1" applyFill="1" applyBorder="1" applyAlignment="1" applyProtection="1">
      <alignment horizontal="center"/>
    </xf>
    <xf numFmtId="10" fontId="0" fillId="6" borderId="0" xfId="2" applyNumberFormat="1" applyFont="1" applyFill="1" applyBorder="1" applyAlignment="1" applyProtection="1">
      <alignment horizontal="center"/>
    </xf>
    <xf numFmtId="10" fontId="1" fillId="6" borderId="0" xfId="2" applyNumberFormat="1" applyFont="1" applyFill="1" applyAlignment="1" applyProtection="1">
      <protection locked="0"/>
    </xf>
    <xf numFmtId="10" fontId="1" fillId="6" borderId="0" xfId="2" applyNumberFormat="1" applyFont="1" applyFill="1" applyBorder="1" applyAlignment="1" applyProtection="1"/>
    <xf numFmtId="167" fontId="0" fillId="6" borderId="76" xfId="0" applyFill="1" applyBorder="1" applyAlignment="1" applyProtection="1">
      <alignment horizontal="center"/>
      <protection locked="0"/>
    </xf>
    <xf numFmtId="167" fontId="1" fillId="6" borderId="0" xfId="0" applyFont="1" applyFill="1" applyBorder="1" applyAlignment="1" applyProtection="1"/>
    <xf numFmtId="167" fontId="0" fillId="6" borderId="73" xfId="0" applyFill="1" applyBorder="1" applyAlignment="1" applyProtection="1">
      <alignment horizontal="right"/>
    </xf>
    <xf numFmtId="10" fontId="0" fillId="6" borderId="0" xfId="2" applyNumberFormat="1" applyFont="1" applyFill="1" applyBorder="1" applyProtection="1">
      <protection locked="0"/>
    </xf>
    <xf numFmtId="167" fontId="0" fillId="6" borderId="0" xfId="0" applyFill="1" applyBorder="1" applyAlignment="1" applyProtection="1">
      <alignment horizontal="left"/>
      <protection locked="0"/>
    </xf>
    <xf numFmtId="167" fontId="0" fillId="6" borderId="77" xfId="0" applyFill="1" applyBorder="1" applyProtection="1">
      <protection locked="0"/>
    </xf>
    <xf numFmtId="167" fontId="1" fillId="6" borderId="40" xfId="0" applyFont="1" applyFill="1" applyBorder="1" applyAlignment="1" applyProtection="1">
      <alignment horizontal="center"/>
      <protection locked="0"/>
    </xf>
    <xf numFmtId="167" fontId="0" fillId="6" borderId="40" xfId="0" applyFill="1" applyBorder="1" applyAlignment="1" applyProtection="1">
      <alignment horizontal="center"/>
      <protection locked="0"/>
    </xf>
    <xf numFmtId="167" fontId="1" fillId="6" borderId="40" xfId="0" applyFont="1" applyFill="1" applyBorder="1" applyAlignment="1" applyProtection="1">
      <protection locked="0"/>
    </xf>
    <xf numFmtId="167" fontId="0" fillId="6" borderId="40" xfId="0" applyFill="1" applyBorder="1" applyProtection="1">
      <protection locked="0"/>
    </xf>
    <xf numFmtId="167" fontId="0" fillId="6" borderId="78" xfId="0" applyFill="1" applyBorder="1" applyProtection="1">
      <protection locked="0"/>
    </xf>
    <xf numFmtId="167" fontId="0" fillId="0" borderId="96" xfId="0" applyBorder="1" applyProtection="1">
      <protection locked="0"/>
    </xf>
    <xf numFmtId="167" fontId="0" fillId="0" borderId="72" xfId="0" applyBorder="1" applyAlignment="1" applyProtection="1">
      <alignment horizontal="center" shrinkToFit="1"/>
      <protection locked="0"/>
    </xf>
    <xf numFmtId="167" fontId="0" fillId="0" borderId="59" xfId="0" applyBorder="1" applyAlignment="1" applyProtection="1">
      <alignment horizontal="center" shrinkToFit="1"/>
      <protection locked="0"/>
    </xf>
    <xf numFmtId="167" fontId="0" fillId="0" borderId="21" xfId="0" applyBorder="1" applyProtection="1">
      <protection locked="0"/>
    </xf>
    <xf numFmtId="167" fontId="0" fillId="0" borderId="54" xfId="0" applyBorder="1" applyProtection="1">
      <protection locked="0"/>
    </xf>
    <xf numFmtId="167" fontId="2" fillId="0" borderId="5" xfId="0" applyFont="1" applyBorder="1" applyAlignment="1" applyProtection="1">
      <protection locked="0"/>
    </xf>
    <xf numFmtId="10" fontId="2" fillId="0" borderId="96" xfId="2" applyNumberFormat="1" applyFont="1" applyBorder="1" applyAlignment="1" applyProtection="1">
      <protection locked="0"/>
    </xf>
    <xf numFmtId="167" fontId="2" fillId="0" borderId="98" xfId="0" applyFont="1" applyBorder="1" applyAlignment="1" applyProtection="1">
      <protection locked="0"/>
    </xf>
    <xf numFmtId="10" fontId="2" fillId="0" borderId="36" xfId="2" applyNumberFormat="1" applyFont="1" applyBorder="1" applyAlignment="1" applyProtection="1">
      <protection locked="0"/>
    </xf>
    <xf numFmtId="0" fontId="15" fillId="0" borderId="4" xfId="8" applyNumberFormat="1" applyFont="1" applyFill="1" applyBorder="1" applyAlignment="1" applyProtection="1">
      <alignment horizontal="center" vertical="center"/>
      <protection locked="0"/>
    </xf>
    <xf numFmtId="167" fontId="0" fillId="0" borderId="0" xfId="0" applyBorder="1" applyAlignment="1" applyProtection="1">
      <alignment horizontal="left"/>
      <protection locked="0"/>
    </xf>
    <xf numFmtId="167" fontId="1" fillId="0" borderId="0" xfId="0" applyFont="1" applyBorder="1" applyAlignment="1" applyProtection="1">
      <alignment horizontal="left"/>
      <protection locked="0"/>
    </xf>
    <xf numFmtId="167" fontId="0" fillId="0" borderId="1" xfId="0" applyFill="1" applyBorder="1" applyAlignment="1" applyProtection="1">
      <alignment horizontal="center"/>
      <protection locked="0"/>
    </xf>
    <xf numFmtId="167" fontId="0" fillId="0" borderId="21" xfId="0" applyBorder="1" applyAlignment="1" applyProtection="1">
      <alignment horizontal="left"/>
      <protection locked="0"/>
    </xf>
    <xf numFmtId="167" fontId="0" fillId="0" borderId="54" xfId="0" applyBorder="1" applyAlignment="1" applyProtection="1">
      <alignment horizontal="left"/>
      <protection locked="0"/>
    </xf>
    <xf numFmtId="1" fontId="1" fillId="0" borderId="72" xfId="8" applyNumberFormat="1" applyFont="1" applyBorder="1" applyAlignment="1" applyProtection="1">
      <alignment horizontal="center" shrinkToFit="1"/>
      <protection locked="0"/>
    </xf>
    <xf numFmtId="0" fontId="1" fillId="0" borderId="4" xfId="0" applyNumberFormat="1" applyFont="1" applyBorder="1" applyAlignment="1" applyProtection="1">
      <alignment horizontal="center" shrinkToFit="1"/>
      <protection locked="0"/>
    </xf>
    <xf numFmtId="10" fontId="0" fillId="6" borderId="25" xfId="2" applyNumberFormat="1" applyFont="1" applyFill="1" applyBorder="1" applyAlignment="1" applyProtection="1">
      <alignment shrinkToFit="1"/>
      <protection locked="0"/>
    </xf>
    <xf numFmtId="10" fontId="0" fillId="6" borderId="21" xfId="2" applyNumberFormat="1" applyFont="1" applyFill="1" applyBorder="1" applyAlignment="1" applyProtection="1">
      <alignment shrinkToFit="1"/>
      <protection locked="0"/>
    </xf>
    <xf numFmtId="10" fontId="0" fillId="6" borderId="54" xfId="2" applyNumberFormat="1" applyFont="1" applyFill="1" applyBorder="1" applyAlignment="1" applyProtection="1">
      <alignment shrinkToFit="1"/>
      <protection locked="0"/>
    </xf>
    <xf numFmtId="10" fontId="0" fillId="6" borderId="23" xfId="2" applyNumberFormat="1" applyFont="1" applyFill="1" applyBorder="1" applyAlignment="1" applyProtection="1">
      <alignment shrinkToFit="1"/>
      <protection locked="0"/>
    </xf>
    <xf numFmtId="10" fontId="0" fillId="6" borderId="18" xfId="2" applyNumberFormat="1" applyFont="1" applyFill="1" applyBorder="1" applyAlignment="1" applyProtection="1">
      <alignment shrinkToFit="1"/>
      <protection locked="0"/>
    </xf>
    <xf numFmtId="10" fontId="0" fillId="6" borderId="27" xfId="2" applyNumberFormat="1" applyFont="1" applyFill="1" applyBorder="1" applyAlignment="1" applyProtection="1">
      <alignment shrinkToFit="1"/>
      <protection locked="0"/>
    </xf>
    <xf numFmtId="10" fontId="0" fillId="6" borderId="24" xfId="2" applyNumberFormat="1" applyFont="1" applyFill="1" applyBorder="1" applyAlignment="1" applyProtection="1">
      <alignment shrinkToFit="1"/>
      <protection locked="0"/>
    </xf>
    <xf numFmtId="10" fontId="0" fillId="6" borderId="19" xfId="2" applyNumberFormat="1" applyFont="1" applyFill="1" applyBorder="1" applyAlignment="1" applyProtection="1">
      <alignment shrinkToFit="1"/>
      <protection locked="0"/>
    </xf>
    <xf numFmtId="10" fontId="1" fillId="6" borderId="40" xfId="2" applyNumberFormat="1" applyFont="1" applyFill="1" applyBorder="1" applyAlignment="1" applyProtection="1">
      <alignment horizontal="center"/>
      <protection locked="0"/>
    </xf>
    <xf numFmtId="167" fontId="28" fillId="0" borderId="0" xfId="0" applyFont="1" applyBorder="1" applyAlignment="1" applyProtection="1">
      <alignment vertical="center"/>
    </xf>
    <xf numFmtId="167" fontId="1" fillId="4" borderId="3" xfId="0" applyFont="1" applyFill="1" applyBorder="1" applyAlignment="1" applyProtection="1">
      <alignment shrinkToFit="1"/>
      <protection locked="0"/>
    </xf>
    <xf numFmtId="10" fontId="0" fillId="6" borderId="10" xfId="2" applyNumberFormat="1" applyFont="1" applyFill="1" applyBorder="1" applyAlignment="1" applyProtection="1">
      <alignment shrinkToFit="1"/>
      <protection locked="0"/>
    </xf>
    <xf numFmtId="10" fontId="0" fillId="6" borderId="11" xfId="2" applyNumberFormat="1" applyFont="1" applyFill="1" applyBorder="1" applyAlignment="1" applyProtection="1">
      <alignment shrinkToFit="1"/>
      <protection locked="0"/>
    </xf>
    <xf numFmtId="167" fontId="0" fillId="6" borderId="77" xfId="0" applyFill="1" applyBorder="1" applyProtection="1"/>
    <xf numFmtId="167" fontId="0" fillId="6" borderId="78" xfId="0" applyFill="1" applyBorder="1" applyProtection="1"/>
    <xf numFmtId="10" fontId="0" fillId="6" borderId="40" xfId="2" applyNumberFormat="1" applyFont="1" applyFill="1" applyBorder="1" applyAlignment="1" applyProtection="1">
      <alignment horizontal="right"/>
      <protection locked="0"/>
    </xf>
    <xf numFmtId="10" fontId="1" fillId="6" borderId="0" xfId="2" applyNumberFormat="1" applyFont="1" applyFill="1" applyAlignment="1" applyProtection="1">
      <alignment horizontal="center"/>
      <protection locked="0"/>
    </xf>
    <xf numFmtId="167" fontId="1" fillId="6" borderId="73" xfId="0" applyFont="1" applyFill="1" applyBorder="1" applyProtection="1"/>
    <xf numFmtId="167" fontId="1" fillId="6" borderId="0" xfId="0" applyFont="1" applyFill="1" applyBorder="1" applyProtection="1"/>
    <xf numFmtId="167" fontId="1" fillId="6" borderId="0" xfId="0" applyFont="1" applyFill="1" applyAlignment="1" applyProtection="1">
      <alignment horizontal="center"/>
      <protection locked="0"/>
    </xf>
    <xf numFmtId="10" fontId="0" fillId="0" borderId="36" xfId="2" applyNumberFormat="1" applyFont="1" applyFill="1" applyBorder="1" applyAlignment="1" applyProtection="1">
      <alignment shrinkToFit="1"/>
      <protection locked="0"/>
    </xf>
    <xf numFmtId="1" fontId="1" fillId="0" borderId="32" xfId="8" applyNumberFormat="1" applyFont="1" applyBorder="1" applyAlignment="1" applyProtection="1">
      <alignment horizontal="center" shrinkToFit="1"/>
      <protection locked="0"/>
    </xf>
    <xf numFmtId="1" fontId="1" fillId="0" borderId="33" xfId="8" applyNumberFormat="1" applyFont="1" applyBorder="1" applyAlignment="1" applyProtection="1">
      <alignment horizontal="center" shrinkToFit="1"/>
      <protection locked="0"/>
    </xf>
    <xf numFmtId="1" fontId="1" fillId="0" borderId="6" xfId="8" applyNumberFormat="1" applyFont="1" applyBorder="1" applyAlignment="1" applyProtection="1">
      <alignment horizontal="center" shrinkToFit="1"/>
      <protection locked="0"/>
    </xf>
    <xf numFmtId="10" fontId="0" fillId="0" borderId="4" xfId="2" applyNumberFormat="1" applyFont="1" applyFill="1" applyBorder="1" applyAlignment="1" applyProtection="1">
      <alignment shrinkToFit="1"/>
      <protection locked="0"/>
    </xf>
    <xf numFmtId="167" fontId="0" fillId="4" borderId="0" xfId="0" applyFill="1" applyBorder="1" applyAlignment="1" applyProtection="1">
      <alignment horizontal="left"/>
      <protection locked="0"/>
    </xf>
    <xf numFmtId="10" fontId="1" fillId="6" borderId="0" xfId="2" applyNumberFormat="1" applyFont="1" applyFill="1" applyBorder="1" applyAlignment="1" applyProtection="1">
      <alignment horizontal="right" shrinkToFit="1"/>
    </xf>
    <xf numFmtId="10" fontId="0" fillId="6" borderId="0" xfId="2" applyNumberFormat="1" applyFont="1" applyFill="1" applyBorder="1" applyAlignment="1" applyProtection="1">
      <alignment horizontal="right" shrinkToFit="1"/>
      <protection locked="0"/>
    </xf>
    <xf numFmtId="10" fontId="0" fillId="6" borderId="0" xfId="2" applyNumberFormat="1" applyFont="1" applyFill="1" applyBorder="1" applyAlignment="1" applyProtection="1">
      <alignment horizontal="right" shrinkToFit="1"/>
    </xf>
    <xf numFmtId="10" fontId="0" fillId="6" borderId="40" xfId="2" applyNumberFormat="1" applyFont="1" applyFill="1" applyBorder="1" applyAlignment="1" applyProtection="1">
      <alignment horizontal="right" shrinkToFit="1"/>
      <protection locked="0"/>
    </xf>
    <xf numFmtId="167" fontId="0" fillId="4" borderId="73" xfId="0" applyFill="1" applyBorder="1" applyProtection="1"/>
    <xf numFmtId="10" fontId="0" fillId="4" borderId="0" xfId="2" applyNumberFormat="1" applyFont="1" applyFill="1" applyBorder="1" applyAlignment="1" applyProtection="1">
      <alignment horizontal="center" shrinkToFit="1"/>
    </xf>
    <xf numFmtId="167" fontId="0" fillId="4" borderId="0" xfId="0" applyFill="1" applyBorder="1" applyAlignment="1" applyProtection="1">
      <alignment horizontal="left"/>
    </xf>
    <xf numFmtId="167" fontId="0" fillId="4" borderId="76" xfId="0" applyFill="1" applyBorder="1" applyAlignment="1" applyProtection="1"/>
    <xf numFmtId="167" fontId="0" fillId="4" borderId="0" xfId="0" applyFill="1" applyBorder="1" applyProtection="1"/>
    <xf numFmtId="167" fontId="1" fillId="4" borderId="76" xfId="0" applyFont="1" applyFill="1" applyBorder="1" applyAlignment="1" applyProtection="1"/>
    <xf numFmtId="167" fontId="0" fillId="4" borderId="40" xfId="0" applyFill="1" applyBorder="1" applyProtection="1"/>
    <xf numFmtId="167" fontId="0" fillId="4" borderId="77" xfId="0" applyFill="1" applyBorder="1" applyProtection="1"/>
    <xf numFmtId="167" fontId="0" fillId="4" borderId="76" xfId="0" applyFill="1" applyBorder="1" applyProtection="1"/>
    <xf numFmtId="10" fontId="0" fillId="4" borderId="0" xfId="2" applyNumberFormat="1" applyFont="1" applyFill="1" applyBorder="1" applyAlignment="1" applyProtection="1">
      <alignment horizontal="left"/>
    </xf>
    <xf numFmtId="167" fontId="2" fillId="4" borderId="77" xfId="0" applyFont="1" applyFill="1" applyBorder="1" applyAlignment="1" applyProtection="1"/>
    <xf numFmtId="167" fontId="2" fillId="4" borderId="40" xfId="0" applyFont="1" applyFill="1" applyBorder="1" applyAlignment="1" applyProtection="1"/>
    <xf numFmtId="167" fontId="2" fillId="4" borderId="78" xfId="0" applyFont="1" applyFill="1" applyBorder="1" applyAlignment="1" applyProtection="1"/>
    <xf numFmtId="167" fontId="0" fillId="4" borderId="0" xfId="0" applyFill="1" applyProtection="1"/>
    <xf numFmtId="167" fontId="28" fillId="4" borderId="0" xfId="0" applyFont="1" applyFill="1" applyBorder="1" applyAlignment="1" applyProtection="1">
      <alignment vertical="center"/>
    </xf>
    <xf numFmtId="167" fontId="9" fillId="4" borderId="0" xfId="0" applyFont="1" applyFill="1" applyBorder="1" applyAlignment="1" applyProtection="1">
      <alignment vertical="center"/>
    </xf>
    <xf numFmtId="167" fontId="24" fillId="4" borderId="0" xfId="0" applyFont="1" applyFill="1" applyBorder="1" applyAlignment="1" applyProtection="1">
      <alignment vertical="center" shrinkToFit="1"/>
    </xf>
    <xf numFmtId="167" fontId="1" fillId="4" borderId="0" xfId="0" applyFont="1" applyFill="1" applyBorder="1" applyAlignment="1" applyProtection="1">
      <alignment horizontal="center"/>
    </xf>
    <xf numFmtId="167" fontId="37" fillId="4" borderId="0" xfId="0" applyFont="1" applyFill="1" applyBorder="1" applyProtection="1"/>
    <xf numFmtId="167" fontId="38" fillId="4" borderId="0" xfId="0" applyFont="1" applyFill="1" applyBorder="1" applyAlignment="1" applyProtection="1">
      <alignment vertical="center"/>
    </xf>
    <xf numFmtId="167" fontId="33" fillId="4" borderId="0" xfId="0" applyFont="1" applyFill="1" applyBorder="1" applyAlignment="1" applyProtection="1">
      <alignment vertical="center" shrinkToFit="1"/>
    </xf>
    <xf numFmtId="167" fontId="2" fillId="4" borderId="0" xfId="0" applyFont="1" applyFill="1" applyBorder="1" applyAlignment="1" applyProtection="1"/>
    <xf numFmtId="167" fontId="32" fillId="4" borderId="0" xfId="0" applyFont="1" applyFill="1" applyBorder="1" applyAlignment="1" applyProtection="1">
      <alignment vertical="center"/>
    </xf>
    <xf numFmtId="167" fontId="10" fillId="4" borderId="0" xfId="0" applyFont="1" applyFill="1" applyBorder="1" applyAlignment="1" applyProtection="1">
      <alignment vertical="center" shrinkToFit="1"/>
    </xf>
    <xf numFmtId="167" fontId="29" fillId="4" borderId="0" xfId="0" applyFont="1" applyFill="1" applyBorder="1" applyAlignment="1" applyProtection="1">
      <alignment vertical="center"/>
    </xf>
    <xf numFmtId="167" fontId="6" fillId="4" borderId="0" xfId="0" applyFont="1" applyFill="1" applyBorder="1" applyAlignment="1" applyProtection="1"/>
    <xf numFmtId="167" fontId="2" fillId="4" borderId="0" xfId="0" applyFont="1" applyFill="1" applyBorder="1" applyAlignment="1" applyProtection="1">
      <alignment horizontal="left"/>
    </xf>
    <xf numFmtId="167" fontId="2" fillId="4" borderId="0" xfId="0" applyFont="1" applyFill="1" applyBorder="1" applyProtection="1"/>
    <xf numFmtId="167" fontId="30" fillId="4" borderId="0" xfId="0" applyFont="1" applyFill="1" applyBorder="1" applyAlignment="1" applyProtection="1">
      <alignment horizontal="center" vertical="center"/>
    </xf>
    <xf numFmtId="167" fontId="11" fillId="4" borderId="0" xfId="0" applyFont="1" applyFill="1" applyBorder="1" applyAlignment="1" applyProtection="1"/>
    <xf numFmtId="167" fontId="2" fillId="4" borderId="0" xfId="0" applyFont="1" applyFill="1" applyBorder="1" applyAlignment="1" applyProtection="1">
      <alignment horizontal="left" vertical="center"/>
    </xf>
    <xf numFmtId="10" fontId="30" fillId="4" borderId="0" xfId="2" applyNumberFormat="1" applyFont="1" applyFill="1" applyBorder="1" applyAlignment="1" applyProtection="1">
      <alignment vertical="center" shrinkToFit="1"/>
    </xf>
    <xf numFmtId="167" fontId="2" fillId="4" borderId="0" xfId="0" applyFont="1" applyFill="1" applyBorder="1" applyAlignment="1" applyProtection="1">
      <alignment vertical="center"/>
    </xf>
    <xf numFmtId="167" fontId="3" fillId="4" borderId="0" xfId="0" applyFont="1" applyFill="1" applyBorder="1" applyAlignment="1" applyProtection="1">
      <alignment vertical="center"/>
    </xf>
    <xf numFmtId="167" fontId="3" fillId="4" borderId="76" xfId="0" applyFont="1" applyFill="1" applyBorder="1" applyAlignment="1" applyProtection="1">
      <alignment vertical="center"/>
    </xf>
    <xf numFmtId="167" fontId="0" fillId="4" borderId="83" xfId="0" applyFill="1" applyBorder="1" applyProtection="1"/>
    <xf numFmtId="167" fontId="3" fillId="4" borderId="0" xfId="0" applyFont="1" applyFill="1" applyBorder="1" applyAlignment="1" applyProtection="1"/>
    <xf numFmtId="167" fontId="31" fillId="4" borderId="0" xfId="0" applyFont="1" applyFill="1" applyBorder="1" applyAlignment="1" applyProtection="1">
      <alignment vertical="center"/>
    </xf>
    <xf numFmtId="167" fontId="36" fillId="4" borderId="0" xfId="0" applyFont="1" applyFill="1" applyBorder="1" applyAlignment="1" applyProtection="1">
      <alignment vertical="center"/>
    </xf>
    <xf numFmtId="167" fontId="27" fillId="4" borderId="0" xfId="15" applyFont="1" applyFill="1" applyBorder="1" applyAlignment="1" applyProtection="1">
      <alignment vertical="top"/>
      <protection locked="0"/>
    </xf>
    <xf numFmtId="167" fontId="2" fillId="4" borderId="0" xfId="0" applyFont="1" applyFill="1" applyBorder="1" applyAlignment="1" applyProtection="1">
      <alignment vertical="center" shrinkToFit="1"/>
    </xf>
    <xf numFmtId="167" fontId="2" fillId="4" borderId="0" xfId="0" applyFont="1" applyFill="1" applyProtection="1"/>
    <xf numFmtId="167" fontId="1" fillId="0" borderId="70" xfId="0" applyFont="1" applyBorder="1" applyProtection="1">
      <protection locked="0"/>
    </xf>
    <xf numFmtId="167" fontId="1" fillId="4" borderId="0" xfId="0" applyFont="1" applyFill="1" applyBorder="1" applyAlignment="1" applyProtection="1">
      <alignment horizontal="center"/>
      <protection locked="0"/>
    </xf>
    <xf numFmtId="0" fontId="2" fillId="4" borderId="0" xfId="27" applyNumberFormat="1" applyFont="1" applyFill="1" applyBorder="1" applyAlignment="1" applyProtection="1">
      <alignment horizontal="center" vertical="center" shrinkToFit="1"/>
      <protection locked="0"/>
    </xf>
    <xf numFmtId="167" fontId="0" fillId="0" borderId="20" xfId="0" applyBorder="1" applyAlignment="1" applyProtection="1">
      <alignment horizontal="left"/>
      <protection locked="0"/>
    </xf>
    <xf numFmtId="10" fontId="1" fillId="4" borderId="13" xfId="2" applyNumberFormat="1" applyFont="1" applyFill="1" applyBorder="1" applyAlignment="1" applyProtection="1">
      <alignment horizontal="center"/>
      <protection locked="0"/>
    </xf>
    <xf numFmtId="10" fontId="1" fillId="4" borderId="11" xfId="2" applyNumberFormat="1" applyFont="1" applyFill="1" applyBorder="1" applyAlignment="1" applyProtection="1">
      <alignment horizontal="center"/>
      <protection locked="0"/>
    </xf>
    <xf numFmtId="10" fontId="1" fillId="4" borderId="21" xfId="2" applyNumberFormat="1" applyFont="1" applyFill="1" applyBorder="1" applyAlignment="1" applyProtection="1">
      <alignment horizontal="center"/>
      <protection locked="0"/>
    </xf>
    <xf numFmtId="10" fontId="1" fillId="4" borderId="24" xfId="2" applyNumberFormat="1" applyFont="1" applyFill="1" applyBorder="1" applyAlignment="1" applyProtection="1">
      <alignment horizontal="center"/>
      <protection locked="0"/>
    </xf>
    <xf numFmtId="10" fontId="1" fillId="4" borderId="18" xfId="2" applyNumberFormat="1" applyFont="1" applyFill="1" applyBorder="1" applyAlignment="1" applyProtection="1">
      <alignment horizontal="center"/>
      <protection locked="0"/>
    </xf>
    <xf numFmtId="10" fontId="1" fillId="4" borderId="27" xfId="2" applyNumberFormat="1" applyFont="1" applyFill="1" applyBorder="1" applyAlignment="1" applyProtection="1">
      <alignment horizontal="center"/>
      <protection locked="0"/>
    </xf>
    <xf numFmtId="167" fontId="1" fillId="4" borderId="27" xfId="0" applyFont="1" applyFill="1" applyBorder="1" applyAlignment="1" applyProtection="1">
      <alignment horizontal="center"/>
      <protection locked="0"/>
    </xf>
    <xf numFmtId="167" fontId="1" fillId="0" borderId="70" xfId="0" applyFont="1" applyBorder="1" applyAlignment="1" applyProtection="1">
      <alignment shrinkToFit="1"/>
      <protection locked="0"/>
    </xf>
    <xf numFmtId="168" fontId="1" fillId="4" borderId="31" xfId="8" applyNumberFormat="1" applyFont="1" applyFill="1" applyBorder="1" applyAlignment="1" applyProtection="1">
      <alignment horizontal="center" vertical="center"/>
      <protection locked="0"/>
    </xf>
    <xf numFmtId="10" fontId="1" fillId="0" borderId="22" xfId="2" applyNumberFormat="1" applyFont="1" applyFill="1" applyBorder="1" applyAlignment="1" applyProtection="1">
      <alignment shrinkToFit="1"/>
      <protection locked="0"/>
    </xf>
    <xf numFmtId="10" fontId="1" fillId="0" borderId="22" xfId="2" applyNumberFormat="1" applyFill="1" applyBorder="1" applyProtection="1">
      <protection locked="0"/>
    </xf>
    <xf numFmtId="10" fontId="0" fillId="0" borderId="22" xfId="0" applyNumberFormat="1" applyFill="1" applyBorder="1" applyProtection="1">
      <protection locked="0"/>
    </xf>
    <xf numFmtId="0" fontId="2" fillId="0" borderId="103" xfId="16" applyFont="1" applyBorder="1" applyAlignment="1" applyProtection="1">
      <alignment horizontal="center" vertical="center" shrinkToFit="1"/>
      <protection locked="0"/>
    </xf>
    <xf numFmtId="0" fontId="2" fillId="0" borderId="104" xfId="16" applyFont="1" applyBorder="1" applyAlignment="1" applyProtection="1">
      <alignment vertical="center" shrinkToFit="1"/>
      <protection locked="0"/>
    </xf>
    <xf numFmtId="0" fontId="2" fillId="0" borderId="104" xfId="16" applyFont="1" applyBorder="1" applyAlignment="1" applyProtection="1">
      <alignment horizontal="center" vertical="center" shrinkToFit="1"/>
      <protection locked="0"/>
    </xf>
    <xf numFmtId="0" fontId="2" fillId="0" borderId="104" xfId="16" applyFont="1" applyBorder="1" applyAlignment="1" applyProtection="1">
      <alignment horizontal="center" vertical="center" wrapText="1" shrinkToFit="1"/>
      <protection locked="0"/>
    </xf>
    <xf numFmtId="0" fontId="2" fillId="0" borderId="104" xfId="16" applyFont="1" applyFill="1" applyBorder="1" applyAlignment="1" applyProtection="1">
      <alignment horizontal="center" vertical="center" wrapText="1" shrinkToFit="1"/>
      <protection locked="0"/>
    </xf>
    <xf numFmtId="0" fontId="2" fillId="0" borderId="104" xfId="16" applyFont="1" applyFill="1" applyBorder="1" applyAlignment="1" applyProtection="1">
      <alignment horizontal="center" vertical="center" shrinkToFit="1"/>
      <protection locked="0"/>
    </xf>
    <xf numFmtId="0" fontId="2" fillId="0" borderId="105" xfId="16" applyFont="1" applyBorder="1" applyAlignment="1" applyProtection="1">
      <alignment horizontal="center" vertical="center" wrapText="1" shrinkToFit="1"/>
      <protection locked="0"/>
    </xf>
    <xf numFmtId="167" fontId="1" fillId="0" borderId="54" xfId="0" applyFont="1" applyBorder="1" applyProtection="1">
      <protection locked="0"/>
    </xf>
    <xf numFmtId="167" fontId="2" fillId="4" borderId="4" xfId="0" applyFont="1" applyFill="1" applyBorder="1" applyAlignment="1" applyProtection="1">
      <alignment horizontal="center" vertical="center"/>
      <protection locked="0"/>
    </xf>
    <xf numFmtId="10" fontId="0" fillId="6" borderId="25" xfId="2" applyNumberFormat="1" applyFont="1" applyFill="1" applyBorder="1" applyProtection="1">
      <protection locked="0"/>
    </xf>
    <xf numFmtId="10" fontId="0" fillId="6" borderId="54" xfId="2" applyNumberFormat="1" applyFont="1" applyFill="1" applyBorder="1" applyProtection="1">
      <protection locked="0"/>
    </xf>
    <xf numFmtId="10" fontId="1" fillId="6" borderId="54" xfId="2" applyNumberFormat="1" applyFont="1" applyFill="1" applyBorder="1" applyProtection="1">
      <protection locked="0"/>
    </xf>
    <xf numFmtId="10" fontId="0" fillId="6" borderId="26" xfId="2" applyNumberFormat="1" applyFont="1" applyFill="1" applyBorder="1" applyProtection="1">
      <protection locked="0"/>
    </xf>
    <xf numFmtId="10" fontId="0" fillId="6" borderId="23" xfId="2" applyNumberFormat="1" applyFont="1" applyFill="1" applyBorder="1" applyProtection="1">
      <protection locked="0"/>
    </xf>
    <xf numFmtId="10" fontId="0" fillId="6" borderId="21" xfId="2" applyNumberFormat="1" applyFont="1" applyFill="1" applyBorder="1" applyProtection="1">
      <protection locked="0"/>
    </xf>
    <xf numFmtId="10" fontId="1" fillId="6" borderId="21" xfId="2" applyNumberFormat="1" applyFont="1" applyFill="1" applyBorder="1" applyProtection="1">
      <protection locked="0"/>
    </xf>
    <xf numFmtId="10" fontId="0" fillId="6" borderId="24" xfId="2" applyNumberFormat="1" applyFont="1" applyFill="1" applyBorder="1" applyProtection="1">
      <protection locked="0"/>
    </xf>
    <xf numFmtId="10" fontId="0" fillId="6" borderId="91" xfId="2" applyNumberFormat="1" applyFont="1" applyFill="1" applyBorder="1" applyProtection="1">
      <protection locked="0"/>
    </xf>
    <xf numFmtId="10" fontId="0" fillId="6" borderId="92" xfId="2" applyNumberFormat="1" applyFont="1" applyFill="1" applyBorder="1" applyProtection="1">
      <protection locked="0"/>
    </xf>
    <xf numFmtId="10" fontId="1" fillId="6" borderId="92" xfId="2" applyNumberFormat="1" applyFont="1" applyFill="1" applyBorder="1" applyProtection="1">
      <protection locked="0"/>
    </xf>
    <xf numFmtId="10" fontId="0" fillId="6" borderId="93" xfId="2" applyNumberFormat="1" applyFont="1" applyFill="1" applyBorder="1" applyProtection="1">
      <protection locked="0"/>
    </xf>
    <xf numFmtId="10" fontId="0" fillId="6" borderId="19" xfId="2" applyNumberFormat="1" applyFont="1" applyFill="1" applyBorder="1" applyProtection="1">
      <protection locked="0"/>
    </xf>
    <xf numFmtId="10" fontId="0" fillId="6" borderId="2" xfId="2" applyNumberFormat="1" applyFont="1" applyFill="1" applyBorder="1" applyProtection="1">
      <protection locked="0"/>
    </xf>
    <xf numFmtId="0" fontId="1" fillId="6" borderId="52" xfId="19" applyFill="1" applyBorder="1" applyProtection="1">
      <protection locked="0"/>
    </xf>
    <xf numFmtId="10" fontId="0" fillId="6" borderId="13" xfId="2" applyNumberFormat="1" applyFont="1" applyFill="1" applyBorder="1" applyAlignment="1" applyProtection="1">
      <alignment shrinkToFit="1"/>
      <protection locked="0"/>
    </xf>
    <xf numFmtId="167" fontId="1" fillId="0" borderId="0" xfId="0" applyFont="1" applyFill="1" applyBorder="1" applyAlignment="1" applyProtection="1">
      <alignment horizontal="center"/>
      <protection locked="0"/>
    </xf>
    <xf numFmtId="167" fontId="1" fillId="0" borderId="0" xfId="0" applyFont="1" applyFill="1" applyBorder="1" applyAlignment="1" applyProtection="1">
      <alignment shrinkToFit="1"/>
      <protection locked="0"/>
    </xf>
    <xf numFmtId="0" fontId="1" fillId="0" borderId="21" xfId="19" applyFill="1" applyBorder="1" applyProtection="1">
      <protection locked="0"/>
    </xf>
    <xf numFmtId="17" fontId="2" fillId="0" borderId="10" xfId="19" applyNumberFormat="1" applyFont="1" applyFill="1" applyBorder="1" applyAlignment="1" applyProtection="1">
      <alignment horizontal="left"/>
      <protection locked="0"/>
    </xf>
    <xf numFmtId="17" fontId="2" fillId="0" borderId="13" xfId="19" applyNumberFormat="1" applyFont="1" applyFill="1" applyBorder="1" applyAlignment="1" applyProtection="1">
      <alignment horizontal="left"/>
      <protection locked="0"/>
    </xf>
    <xf numFmtId="0" fontId="1" fillId="0" borderId="13" xfId="19" applyFill="1" applyBorder="1" applyProtection="1">
      <protection locked="0"/>
    </xf>
    <xf numFmtId="167" fontId="0" fillId="0" borderId="11" xfId="0" applyBorder="1" applyProtection="1">
      <protection locked="0"/>
    </xf>
    <xf numFmtId="16" fontId="2" fillId="0" borderId="23" xfId="19" applyNumberFormat="1" applyFont="1" applyFill="1" applyBorder="1" applyAlignment="1" applyProtection="1">
      <alignment horizontal="left"/>
      <protection locked="0"/>
    </xf>
    <xf numFmtId="167" fontId="0" fillId="0" borderId="24" xfId="0" applyBorder="1" applyProtection="1">
      <protection locked="0"/>
    </xf>
    <xf numFmtId="0" fontId="12" fillId="0" borderId="18" xfId="19" applyFont="1" applyFill="1" applyBorder="1" applyAlignment="1" applyProtection="1">
      <alignment horizontal="center"/>
      <protection locked="0"/>
    </xf>
    <xf numFmtId="10" fontId="1" fillId="0" borderId="27" xfId="12" applyNumberFormat="1" applyFont="1" applyFill="1" applyBorder="1" applyAlignment="1" applyProtection="1">
      <alignment horizontal="center"/>
      <protection locked="0"/>
    </xf>
    <xf numFmtId="10" fontId="2" fillId="0" borderId="27" xfId="12" applyNumberFormat="1" applyFont="1" applyFill="1" applyBorder="1" applyAlignment="1" applyProtection="1">
      <alignment horizontal="left"/>
      <protection locked="0"/>
    </xf>
    <xf numFmtId="167" fontId="1" fillId="0" borderId="5" xfId="0" applyFont="1" applyBorder="1" applyProtection="1">
      <protection locked="0"/>
    </xf>
    <xf numFmtId="167" fontId="0" fillId="0" borderId="36" xfId="0" applyBorder="1" applyProtection="1">
      <protection locked="0"/>
    </xf>
    <xf numFmtId="167" fontId="2" fillId="0" borderId="53" xfId="0" applyFont="1" applyBorder="1" applyAlignment="1" applyProtection="1">
      <protection locked="0"/>
    </xf>
    <xf numFmtId="167" fontId="2" fillId="0" borderId="53" xfId="0" applyFont="1" applyBorder="1" applyAlignment="1" applyProtection="1">
      <alignment vertical="center"/>
      <protection locked="0"/>
    </xf>
    <xf numFmtId="167" fontId="2" fillId="0" borderId="53" xfId="0" applyFont="1" applyBorder="1" applyProtection="1">
      <protection locked="0"/>
    </xf>
    <xf numFmtId="167" fontId="2" fillId="0" borderId="0" xfId="0" applyFont="1" applyBorder="1" applyProtection="1">
      <protection locked="0"/>
    </xf>
    <xf numFmtId="44" fontId="1" fillId="0" borderId="19" xfId="1" applyFill="1" applyBorder="1" applyProtection="1">
      <protection locked="0"/>
    </xf>
    <xf numFmtId="167" fontId="0" fillId="0" borderId="52" xfId="0" applyFill="1" applyBorder="1" applyAlignment="1" applyProtection="1">
      <alignment horizontal="center"/>
      <protection locked="0"/>
    </xf>
    <xf numFmtId="10" fontId="0" fillId="0" borderId="1" xfId="2" applyNumberFormat="1" applyFont="1" applyFill="1" applyBorder="1" applyAlignment="1" applyProtection="1">
      <alignment shrinkToFit="1"/>
      <protection locked="0"/>
    </xf>
    <xf numFmtId="167" fontId="0" fillId="0" borderId="59" xfId="0" applyFill="1" applyBorder="1" applyAlignment="1" applyProtection="1">
      <alignment horizontal="center"/>
      <protection locked="0"/>
    </xf>
    <xf numFmtId="0" fontId="1" fillId="0" borderId="31" xfId="0" applyNumberFormat="1" applyFont="1" applyFill="1" applyBorder="1" applyAlignment="1" applyProtection="1">
      <alignment horizontal="center" vertical="center" shrinkToFit="1"/>
      <protection locked="0"/>
    </xf>
    <xf numFmtId="167" fontId="1" fillId="4" borderId="55" xfId="15" applyFont="1" applyFill="1" applyBorder="1" applyAlignment="1" applyProtection="1">
      <alignment horizontal="center" shrinkToFit="1"/>
      <protection locked="0"/>
    </xf>
    <xf numFmtId="10" fontId="0" fillId="0" borderId="22" xfId="2" applyNumberFormat="1" applyFont="1" applyBorder="1" applyAlignment="1" applyProtection="1">
      <alignment horizontal="center" vertical="center"/>
      <protection locked="0"/>
    </xf>
    <xf numFmtId="10" fontId="0" fillId="4" borderId="31" xfId="2" applyNumberFormat="1" applyFont="1" applyFill="1" applyBorder="1" applyAlignment="1" applyProtection="1">
      <alignment shrinkToFit="1"/>
      <protection locked="0"/>
    </xf>
    <xf numFmtId="10" fontId="1" fillId="4" borderId="31" xfId="2" applyNumberFormat="1" applyFont="1" applyFill="1" applyBorder="1" applyProtection="1">
      <protection locked="0"/>
    </xf>
    <xf numFmtId="10" fontId="1" fillId="4" borderId="31" xfId="2" applyNumberFormat="1" applyFont="1" applyFill="1" applyBorder="1" applyAlignment="1" applyProtection="1">
      <alignment vertical="center" shrinkToFit="1"/>
      <protection locked="0"/>
    </xf>
    <xf numFmtId="170" fontId="1" fillId="7" borderId="13" xfId="2" applyNumberFormat="1" applyFont="1" applyFill="1" applyBorder="1" applyAlignment="1" applyProtection="1">
      <alignment horizontal="center"/>
      <protection locked="0"/>
    </xf>
    <xf numFmtId="10" fontId="1" fillId="7" borderId="23" xfId="2" applyNumberFormat="1" applyFont="1" applyFill="1" applyBorder="1" applyAlignment="1" applyProtection="1">
      <alignment horizontal="center"/>
      <protection locked="0"/>
    </xf>
    <xf numFmtId="10" fontId="1" fillId="7" borderId="21" xfId="2" applyNumberFormat="1" applyFont="1" applyFill="1" applyBorder="1" applyAlignment="1" applyProtection="1">
      <alignment horizontal="center"/>
      <protection locked="0"/>
    </xf>
    <xf numFmtId="10" fontId="0" fillId="7" borderId="21" xfId="2" applyNumberFormat="1" applyFont="1" applyFill="1" applyBorder="1" applyAlignment="1" applyProtection="1">
      <alignment horizontal="center"/>
      <protection locked="0"/>
    </xf>
    <xf numFmtId="10" fontId="1" fillId="7" borderId="27" xfId="2" applyNumberFormat="1" applyFont="1" applyFill="1" applyBorder="1" applyAlignment="1" applyProtection="1">
      <alignment horizontal="center"/>
      <protection locked="0"/>
    </xf>
    <xf numFmtId="10" fontId="1" fillId="7" borderId="24" xfId="2" applyNumberFormat="1" applyFont="1" applyFill="1" applyBorder="1" applyAlignment="1" applyProtection="1">
      <alignment horizontal="center"/>
      <protection locked="0"/>
    </xf>
    <xf numFmtId="10" fontId="1" fillId="7" borderId="19" xfId="2" applyNumberFormat="1" applyFont="1" applyFill="1" applyBorder="1" applyAlignment="1" applyProtection="1">
      <alignment horizontal="center" shrinkToFit="1"/>
      <protection locked="0"/>
    </xf>
    <xf numFmtId="167" fontId="1" fillId="4" borderId="50" xfId="0" applyFont="1" applyFill="1" applyBorder="1" applyProtection="1">
      <protection locked="0"/>
    </xf>
    <xf numFmtId="10" fontId="0" fillId="6" borderId="0" xfId="2" applyNumberFormat="1" applyFont="1" applyFill="1" applyBorder="1" applyAlignment="1" applyProtection="1">
      <alignment horizontal="center" shrinkToFit="1"/>
    </xf>
    <xf numFmtId="10" fontId="0" fillId="6" borderId="0" xfId="2" quotePrefix="1" applyNumberFormat="1" applyFont="1" applyFill="1" applyBorder="1" applyAlignment="1" applyProtection="1">
      <alignment horizontal="center"/>
      <protection locked="0"/>
    </xf>
    <xf numFmtId="167" fontId="2" fillId="4" borderId="30" xfId="0" applyFont="1" applyFill="1" applyBorder="1" applyAlignment="1" applyProtection="1">
      <alignment horizontal="center" vertical="center" shrinkToFit="1"/>
      <protection locked="0"/>
    </xf>
    <xf numFmtId="167" fontId="1" fillId="4" borderId="58" xfId="0" applyFont="1" applyFill="1" applyBorder="1" applyAlignment="1" applyProtection="1">
      <alignment horizontal="center" vertical="center" shrinkToFit="1"/>
      <protection locked="0"/>
    </xf>
    <xf numFmtId="44" fontId="2" fillId="4" borderId="30" xfId="1" applyFont="1" applyFill="1" applyBorder="1" applyAlignment="1" applyProtection="1">
      <alignment horizontal="center" vertical="center" shrinkToFit="1"/>
      <protection locked="0"/>
    </xf>
    <xf numFmtId="10" fontId="1" fillId="0" borderId="0" xfId="2" applyNumberFormat="1" applyFont="1" applyFill="1" applyBorder="1" applyAlignment="1" applyProtection="1">
      <alignment horizontal="center" vertical="center" shrinkToFit="1"/>
      <protection locked="0"/>
    </xf>
    <xf numFmtId="167" fontId="2" fillId="0" borderId="2" xfId="0" applyFont="1" applyFill="1" applyBorder="1" applyAlignment="1" applyProtection="1">
      <alignment horizontal="center"/>
      <protection locked="0"/>
    </xf>
    <xf numFmtId="167" fontId="2" fillId="0" borderId="57" xfId="0" applyFont="1" applyBorder="1" applyAlignment="1" applyProtection="1">
      <protection locked="0"/>
    </xf>
    <xf numFmtId="167" fontId="0" fillId="0" borderId="97" xfId="0" applyFill="1" applyBorder="1" applyProtection="1"/>
    <xf numFmtId="168" fontId="0" fillId="0" borderId="37" xfId="27" applyNumberFormat="1" applyFont="1" applyBorder="1" applyAlignment="1" applyProtection="1">
      <alignment horizontal="center"/>
      <protection locked="0"/>
    </xf>
    <xf numFmtId="168" fontId="0" fillId="0" borderId="37" xfId="27" applyNumberFormat="1" applyFont="1" applyBorder="1" applyAlignment="1" applyProtection="1">
      <alignment horizontal="center"/>
    </xf>
    <xf numFmtId="168" fontId="2" fillId="0" borderId="37" xfId="27" applyNumberFormat="1" applyFont="1" applyBorder="1" applyAlignment="1" applyProtection="1">
      <alignment horizontal="center"/>
      <protection locked="0"/>
    </xf>
    <xf numFmtId="168" fontId="0" fillId="0" borderId="37" xfId="27" applyNumberFormat="1" applyFont="1" applyFill="1" applyBorder="1" applyAlignment="1" applyProtection="1">
      <alignment horizontal="center"/>
      <protection locked="0"/>
    </xf>
    <xf numFmtId="168" fontId="0" fillId="0" borderId="58" xfId="27" applyNumberFormat="1" applyFont="1" applyFill="1" applyBorder="1" applyAlignment="1" applyProtection="1">
      <alignment horizontal="center"/>
    </xf>
    <xf numFmtId="10" fontId="0" fillId="6" borderId="40" xfId="2" applyNumberFormat="1" applyFont="1" applyFill="1" applyBorder="1" applyAlignment="1" applyProtection="1">
      <alignment horizontal="center"/>
      <protection locked="0"/>
    </xf>
    <xf numFmtId="167" fontId="2" fillId="0" borderId="33" xfId="0" applyFont="1" applyBorder="1" applyAlignment="1" applyProtection="1">
      <alignment horizontal="center"/>
      <protection locked="0"/>
    </xf>
    <xf numFmtId="167" fontId="2" fillId="0" borderId="96" xfId="0" applyFont="1" applyFill="1" applyBorder="1" applyProtection="1">
      <protection locked="0"/>
    </xf>
    <xf numFmtId="167" fontId="2" fillId="0" borderId="5" xfId="0" applyFont="1" applyFill="1" applyBorder="1" applyProtection="1">
      <protection locked="0"/>
    </xf>
    <xf numFmtId="10" fontId="2" fillId="0" borderId="71" xfId="2" applyNumberFormat="1" applyFont="1" applyBorder="1" applyAlignment="1" applyProtection="1">
      <alignment horizontal="center"/>
      <protection locked="0"/>
    </xf>
    <xf numFmtId="10" fontId="0" fillId="4" borderId="31" xfId="2" applyNumberFormat="1" applyFont="1" applyFill="1" applyBorder="1" applyProtection="1">
      <protection locked="0"/>
    </xf>
    <xf numFmtId="167" fontId="10" fillId="4" borderId="0" xfId="0" applyFont="1" applyFill="1" applyBorder="1" applyAlignment="1" applyProtection="1">
      <alignment vertical="center"/>
    </xf>
    <xf numFmtId="167" fontId="0" fillId="8" borderId="73" xfId="0" applyFill="1" applyBorder="1" applyProtection="1">
      <protection locked="0"/>
    </xf>
    <xf numFmtId="167" fontId="1" fillId="8" borderId="0" xfId="0" applyFont="1" applyFill="1" applyBorder="1" applyAlignment="1" applyProtection="1">
      <alignment horizontal="center"/>
      <protection locked="0"/>
    </xf>
    <xf numFmtId="10" fontId="0" fillId="8" borderId="0" xfId="2" applyNumberFormat="1" applyFont="1" applyFill="1" applyBorder="1" applyAlignment="1" applyProtection="1">
      <alignment horizontal="right"/>
      <protection locked="0"/>
    </xf>
    <xf numFmtId="167" fontId="1" fillId="8" borderId="0" xfId="0" applyFont="1" applyFill="1" applyBorder="1" applyAlignment="1" applyProtection="1">
      <protection locked="0"/>
    </xf>
    <xf numFmtId="167" fontId="0" fillId="8" borderId="76" xfId="0" applyFill="1" applyBorder="1" applyAlignment="1" applyProtection="1">
      <protection locked="0"/>
    </xf>
    <xf numFmtId="167" fontId="0" fillId="8" borderId="0" xfId="0" applyFill="1" applyBorder="1" applyAlignment="1" applyProtection="1">
      <alignment horizontal="center"/>
      <protection locked="0"/>
    </xf>
    <xf numFmtId="167" fontId="0" fillId="8" borderId="0" xfId="0" applyFill="1" applyBorder="1" applyProtection="1">
      <protection locked="0"/>
    </xf>
    <xf numFmtId="10" fontId="1" fillId="8" borderId="0" xfId="2" applyNumberFormat="1" applyFont="1" applyFill="1" applyBorder="1" applyAlignment="1" applyProtection="1">
      <alignment horizontal="right"/>
      <protection locked="0"/>
    </xf>
    <xf numFmtId="10" fontId="0" fillId="8" borderId="78" xfId="2" applyNumberFormat="1" applyFont="1" applyFill="1" applyBorder="1" applyAlignment="1" applyProtection="1">
      <alignment shrinkToFit="1"/>
      <protection locked="0"/>
    </xf>
    <xf numFmtId="10" fontId="0" fillId="8" borderId="26" xfId="2" applyNumberFormat="1" applyFont="1" applyFill="1" applyBorder="1" applyAlignment="1" applyProtection="1">
      <alignment shrinkToFit="1"/>
      <protection locked="0"/>
    </xf>
    <xf numFmtId="10" fontId="0" fillId="8" borderId="20" xfId="2" applyNumberFormat="1" applyFont="1" applyFill="1" applyBorder="1" applyAlignment="1" applyProtection="1">
      <alignment shrinkToFit="1"/>
      <protection locked="0"/>
    </xf>
    <xf numFmtId="10" fontId="0" fillId="8" borderId="24" xfId="2" applyNumberFormat="1" applyFont="1" applyFill="1" applyBorder="1" applyAlignment="1" applyProtection="1">
      <alignment shrinkToFit="1"/>
      <protection locked="0"/>
    </xf>
    <xf numFmtId="10" fontId="0" fillId="8" borderId="35" xfId="2" applyNumberFormat="1" applyFont="1" applyFill="1" applyBorder="1" applyAlignment="1" applyProtection="1">
      <alignment shrinkToFit="1"/>
      <protection locked="0"/>
    </xf>
    <xf numFmtId="10" fontId="0" fillId="8" borderId="19" xfId="2" applyNumberFormat="1" applyFont="1" applyFill="1" applyBorder="1" applyAlignment="1" applyProtection="1">
      <alignment shrinkToFit="1"/>
      <protection locked="0"/>
    </xf>
    <xf numFmtId="10" fontId="0" fillId="8" borderId="25" xfId="2" applyNumberFormat="1" applyFont="1" applyFill="1" applyBorder="1" applyAlignment="1" applyProtection="1">
      <alignment shrinkToFit="1"/>
      <protection locked="0"/>
    </xf>
    <xf numFmtId="10" fontId="0" fillId="8" borderId="23" xfId="2" applyNumberFormat="1" applyFont="1" applyFill="1" applyBorder="1" applyAlignment="1" applyProtection="1">
      <alignment shrinkToFit="1"/>
      <protection locked="0"/>
    </xf>
    <xf numFmtId="10" fontId="0" fillId="8" borderId="18" xfId="2" applyNumberFormat="1" applyFont="1" applyFill="1" applyBorder="1" applyAlignment="1" applyProtection="1">
      <alignment shrinkToFit="1"/>
      <protection locked="0"/>
    </xf>
    <xf numFmtId="10" fontId="1" fillId="8" borderId="25" xfId="2" applyNumberFormat="1" applyFont="1" applyFill="1" applyBorder="1" applyProtection="1">
      <protection locked="0"/>
    </xf>
    <xf numFmtId="10" fontId="1" fillId="8" borderId="23" xfId="2" applyNumberFormat="1" applyFont="1" applyFill="1" applyBorder="1" applyProtection="1">
      <protection locked="0"/>
    </xf>
    <xf numFmtId="10" fontId="1" fillId="8" borderId="18" xfId="2" applyNumberFormat="1" applyFont="1" applyFill="1" applyBorder="1" applyProtection="1">
      <protection locked="0"/>
    </xf>
    <xf numFmtId="10" fontId="0" fillId="8" borderId="13" xfId="2" applyNumberFormat="1" applyFont="1" applyFill="1" applyBorder="1" applyProtection="1">
      <protection locked="0"/>
    </xf>
    <xf numFmtId="10" fontId="0" fillId="8" borderId="94" xfId="2" applyNumberFormat="1" applyFont="1" applyFill="1" applyBorder="1" applyProtection="1">
      <protection locked="0"/>
    </xf>
    <xf numFmtId="10" fontId="0" fillId="8" borderId="11" xfId="2" applyNumberFormat="1" applyFont="1" applyFill="1" applyBorder="1" applyProtection="1">
      <protection locked="0"/>
    </xf>
    <xf numFmtId="10" fontId="0" fillId="8" borderId="21" xfId="2" applyNumberFormat="1" applyFont="1" applyFill="1" applyBorder="1" applyProtection="1">
      <protection locked="0"/>
    </xf>
    <xf numFmtId="10" fontId="0" fillId="8" borderId="90" xfId="2" applyNumberFormat="1" applyFont="1" applyFill="1" applyBorder="1" applyProtection="1">
      <protection locked="0"/>
    </xf>
    <xf numFmtId="10" fontId="0" fillId="8" borderId="24" xfId="2" applyNumberFormat="1" applyFont="1" applyFill="1" applyBorder="1" applyProtection="1">
      <protection locked="0"/>
    </xf>
    <xf numFmtId="10" fontId="0" fillId="8" borderId="92" xfId="2" applyNumberFormat="1" applyFont="1" applyFill="1" applyBorder="1" applyProtection="1">
      <protection locked="0"/>
    </xf>
    <xf numFmtId="10" fontId="0" fillId="8" borderId="74" xfId="2" applyNumberFormat="1" applyFont="1" applyFill="1" applyBorder="1" applyProtection="1">
      <protection locked="0"/>
    </xf>
    <xf numFmtId="10" fontId="0" fillId="8" borderId="93" xfId="2" applyNumberFormat="1" applyFont="1" applyFill="1" applyBorder="1" applyProtection="1">
      <protection locked="0"/>
    </xf>
    <xf numFmtId="10" fontId="0" fillId="8" borderId="11" xfId="2" applyNumberFormat="1" applyFont="1" applyFill="1" applyBorder="1" applyAlignment="1" applyProtection="1">
      <alignment shrinkToFit="1"/>
      <protection locked="0"/>
    </xf>
    <xf numFmtId="167" fontId="0" fillId="8" borderId="0" xfId="0" applyFill="1" applyAlignment="1" applyProtection="1">
      <alignment horizontal="center"/>
      <protection locked="0"/>
    </xf>
    <xf numFmtId="10" fontId="0" fillId="8" borderId="0" xfId="2" applyNumberFormat="1" applyFont="1" applyFill="1" applyProtection="1">
      <protection locked="0"/>
    </xf>
    <xf numFmtId="167" fontId="1" fillId="8" borderId="76" xfId="0" applyFont="1" applyFill="1" applyBorder="1" applyAlignment="1" applyProtection="1">
      <protection locked="0"/>
    </xf>
    <xf numFmtId="167" fontId="0" fillId="8" borderId="76" xfId="0" applyFill="1" applyBorder="1" applyProtection="1">
      <protection locked="0"/>
    </xf>
    <xf numFmtId="10" fontId="1" fillId="8" borderId="0" xfId="2" applyNumberFormat="1" applyFont="1" applyFill="1" applyAlignment="1" applyProtection="1">
      <protection locked="0"/>
    </xf>
    <xf numFmtId="10" fontId="1" fillId="8" borderId="0" xfId="2" applyNumberFormat="1" applyFont="1" applyFill="1" applyBorder="1" applyAlignment="1" applyProtection="1">
      <protection locked="0"/>
    </xf>
    <xf numFmtId="167" fontId="0" fillId="8" borderId="73" xfId="0" applyFill="1" applyBorder="1" applyProtection="1"/>
    <xf numFmtId="167" fontId="1" fillId="8" borderId="0" xfId="0" applyFont="1" applyFill="1" applyBorder="1" applyAlignment="1" applyProtection="1">
      <alignment horizontal="center"/>
    </xf>
    <xf numFmtId="167" fontId="0" fillId="8" borderId="0" xfId="0" applyFill="1" applyBorder="1" applyProtection="1"/>
    <xf numFmtId="167" fontId="0" fillId="8" borderId="0" xfId="0" applyFill="1" applyBorder="1" applyAlignment="1" applyProtection="1">
      <alignment horizontal="center"/>
    </xf>
    <xf numFmtId="10" fontId="1" fillId="8" borderId="0" xfId="2" applyNumberFormat="1" applyFont="1" applyFill="1" applyBorder="1" applyAlignment="1" applyProtection="1">
      <alignment horizontal="right"/>
    </xf>
    <xf numFmtId="167" fontId="0" fillId="8" borderId="76" xfId="0" applyFill="1" applyBorder="1" applyProtection="1"/>
    <xf numFmtId="10" fontId="0" fillId="8" borderId="0" xfId="2" applyNumberFormat="1" applyFont="1" applyFill="1" applyBorder="1" applyAlignment="1" applyProtection="1">
      <alignment horizontal="right"/>
    </xf>
    <xf numFmtId="167" fontId="0" fillId="8" borderId="76" xfId="0" applyFill="1" applyBorder="1" applyAlignment="1" applyProtection="1"/>
    <xf numFmtId="10" fontId="1" fillId="8" borderId="0" xfId="2" applyNumberFormat="1" applyFont="1" applyFill="1" applyBorder="1" applyAlignment="1" applyProtection="1"/>
    <xf numFmtId="167" fontId="1" fillId="8" borderId="0" xfId="0" applyFont="1" applyFill="1" applyBorder="1" applyAlignment="1" applyProtection="1"/>
    <xf numFmtId="10" fontId="0" fillId="8" borderId="0" xfId="2" applyNumberFormat="1" applyFont="1" applyFill="1" applyBorder="1" applyAlignment="1" applyProtection="1">
      <alignment horizontal="center"/>
    </xf>
    <xf numFmtId="10" fontId="1" fillId="8" borderId="0" xfId="2" applyNumberFormat="1" applyFont="1" applyFill="1" applyBorder="1" applyAlignment="1" applyProtection="1">
      <alignment horizontal="left"/>
      <protection locked="0"/>
    </xf>
    <xf numFmtId="167" fontId="1" fillId="8" borderId="0" xfId="0" applyFont="1" applyFill="1" applyBorder="1" applyAlignment="1" applyProtection="1">
      <alignment horizontal="left"/>
      <protection locked="0"/>
    </xf>
    <xf numFmtId="10" fontId="0" fillId="8" borderId="0" xfId="2" applyNumberFormat="1" applyFont="1" applyFill="1" applyBorder="1" applyAlignment="1" applyProtection="1">
      <alignment horizontal="left"/>
      <protection locked="0"/>
    </xf>
    <xf numFmtId="167" fontId="0" fillId="9" borderId="73" xfId="0" applyFill="1" applyBorder="1" applyProtection="1"/>
    <xf numFmtId="167" fontId="1" fillId="9" borderId="0" xfId="0" applyFont="1" applyFill="1" applyBorder="1" applyAlignment="1" applyProtection="1">
      <alignment horizontal="center"/>
    </xf>
    <xf numFmtId="167" fontId="0" fillId="9" borderId="0" xfId="0" applyFill="1" applyAlignment="1" applyProtection="1">
      <alignment horizontal="center"/>
      <protection locked="0"/>
    </xf>
    <xf numFmtId="10" fontId="1" fillId="9" borderId="0" xfId="2" applyNumberFormat="1" applyFont="1" applyFill="1" applyAlignment="1" applyProtection="1">
      <protection locked="0"/>
    </xf>
    <xf numFmtId="167" fontId="1" fillId="9" borderId="0" xfId="0" applyFont="1" applyFill="1" applyBorder="1" applyAlignment="1" applyProtection="1">
      <protection locked="0"/>
    </xf>
    <xf numFmtId="167" fontId="0" fillId="9" borderId="76" xfId="0" applyFill="1" applyBorder="1" applyAlignment="1" applyProtection="1"/>
    <xf numFmtId="10" fontId="1" fillId="9" borderId="0" xfId="2" applyNumberFormat="1" applyFont="1" applyFill="1" applyBorder="1" applyAlignment="1" applyProtection="1"/>
    <xf numFmtId="167" fontId="0" fillId="9" borderId="0" xfId="0" applyFill="1" applyBorder="1" applyProtection="1"/>
    <xf numFmtId="167" fontId="0" fillId="9" borderId="0" xfId="0" applyFill="1" applyBorder="1" applyAlignment="1" applyProtection="1">
      <alignment horizontal="center"/>
    </xf>
    <xf numFmtId="10" fontId="1" fillId="9" borderId="0" xfId="2" applyNumberFormat="1" applyFont="1" applyFill="1" applyBorder="1" applyAlignment="1" applyProtection="1">
      <alignment horizontal="right"/>
    </xf>
    <xf numFmtId="10" fontId="0" fillId="9" borderId="0" xfId="2" applyNumberFormat="1" applyFont="1" applyFill="1" applyBorder="1" applyAlignment="1" applyProtection="1">
      <alignment horizontal="right"/>
    </xf>
    <xf numFmtId="167" fontId="1" fillId="9" borderId="0" xfId="0" applyFont="1" applyFill="1" applyBorder="1" applyAlignment="1" applyProtection="1">
      <alignment horizontal="center"/>
      <protection locked="0"/>
    </xf>
    <xf numFmtId="10" fontId="1" fillId="9" borderId="0" xfId="2" applyNumberFormat="1" applyFont="1" applyFill="1" applyBorder="1" applyAlignment="1" applyProtection="1">
      <alignment horizontal="left"/>
    </xf>
    <xf numFmtId="167" fontId="1" fillId="9" borderId="0" xfId="0" applyFont="1" applyFill="1" applyBorder="1" applyAlignment="1" applyProtection="1"/>
    <xf numFmtId="10" fontId="0" fillId="9" borderId="0" xfId="2" applyNumberFormat="1" applyFont="1" applyFill="1" applyBorder="1" applyAlignment="1" applyProtection="1">
      <alignment horizontal="left"/>
    </xf>
    <xf numFmtId="167" fontId="0" fillId="9" borderId="77" xfId="0" applyFill="1" applyBorder="1" applyProtection="1"/>
    <xf numFmtId="167" fontId="0" fillId="9" borderId="40" xfId="0" applyFill="1" applyBorder="1" applyAlignment="1" applyProtection="1">
      <alignment horizontal="center"/>
    </xf>
    <xf numFmtId="10" fontId="0" fillId="9" borderId="40" xfId="2" applyNumberFormat="1" applyFont="1" applyFill="1" applyBorder="1" applyAlignment="1" applyProtection="1">
      <alignment horizontal="left"/>
    </xf>
    <xf numFmtId="167" fontId="1" fillId="9" borderId="78" xfId="0" applyFont="1" applyFill="1" applyBorder="1" applyAlignment="1" applyProtection="1">
      <alignment horizontal="center"/>
    </xf>
    <xf numFmtId="167" fontId="0" fillId="9" borderId="76" xfId="0" applyFill="1" applyBorder="1" applyProtection="1"/>
    <xf numFmtId="10" fontId="1" fillId="9" borderId="0" xfId="2" applyNumberFormat="1" applyFont="1" applyFill="1" applyBorder="1" applyAlignment="1" applyProtection="1">
      <alignment horizontal="left"/>
      <protection locked="0"/>
    </xf>
    <xf numFmtId="167" fontId="1" fillId="9" borderId="0" xfId="0" applyFont="1" applyFill="1" applyBorder="1" applyAlignment="1" applyProtection="1">
      <alignment horizontal="left"/>
      <protection locked="0"/>
    </xf>
    <xf numFmtId="167" fontId="0" fillId="9" borderId="0" xfId="0" applyFill="1" applyBorder="1" applyAlignment="1" applyProtection="1">
      <alignment horizontal="center"/>
      <protection locked="0"/>
    </xf>
    <xf numFmtId="10" fontId="0" fillId="9" borderId="0" xfId="2" applyNumberFormat="1" applyFont="1" applyFill="1" applyBorder="1" applyAlignment="1" applyProtection="1">
      <alignment horizontal="right"/>
      <protection locked="0"/>
    </xf>
    <xf numFmtId="10" fontId="0" fillId="9" borderId="0" xfId="2" applyNumberFormat="1" applyFont="1" applyFill="1" applyBorder="1" applyAlignment="1" applyProtection="1">
      <alignment horizontal="left"/>
      <protection locked="0"/>
    </xf>
    <xf numFmtId="167" fontId="0" fillId="9" borderId="73" xfId="0" applyFill="1" applyBorder="1" applyAlignment="1" applyProtection="1">
      <alignment horizontal="right"/>
    </xf>
    <xf numFmtId="10" fontId="0" fillId="9" borderId="0" xfId="2" applyNumberFormat="1" applyFont="1" applyFill="1" applyBorder="1" applyProtection="1">
      <protection locked="0"/>
    </xf>
    <xf numFmtId="167" fontId="0" fillId="9" borderId="0" xfId="0" applyFill="1" applyBorder="1" applyAlignment="1" applyProtection="1">
      <alignment horizontal="left"/>
      <protection locked="0"/>
    </xf>
    <xf numFmtId="167" fontId="0" fillId="9" borderId="76" xfId="0" applyFill="1" applyBorder="1" applyAlignment="1" applyProtection="1">
      <alignment horizontal="center"/>
      <protection locked="0"/>
    </xf>
    <xf numFmtId="167" fontId="0" fillId="9" borderId="77" xfId="0" applyFill="1" applyBorder="1" applyAlignment="1" applyProtection="1">
      <alignment horizontal="right"/>
    </xf>
    <xf numFmtId="10" fontId="0" fillId="9" borderId="40" xfId="2" applyNumberFormat="1" applyFont="1" applyFill="1" applyBorder="1" applyAlignment="1" applyProtection="1">
      <alignment horizontal="center"/>
    </xf>
    <xf numFmtId="167" fontId="0" fillId="9" borderId="78" xfId="0" applyFill="1" applyBorder="1" applyProtection="1"/>
    <xf numFmtId="10" fontId="0" fillId="0" borderId="22" xfId="0" applyNumberFormat="1" applyFill="1" applyBorder="1" applyAlignment="1" applyProtection="1">
      <alignment horizontal="right"/>
      <protection locked="0"/>
    </xf>
    <xf numFmtId="10" fontId="0" fillId="0" borderId="30" xfId="0" applyNumberFormat="1" applyFill="1" applyBorder="1" applyAlignment="1" applyProtection="1">
      <alignment horizontal="center" shrinkToFit="1"/>
      <protection locked="0"/>
    </xf>
    <xf numFmtId="10" fontId="1" fillId="9" borderId="27" xfId="2" applyNumberFormat="1" applyFont="1" applyFill="1" applyBorder="1" applyAlignment="1" applyProtection="1">
      <alignment horizontal="center"/>
      <protection locked="0"/>
    </xf>
    <xf numFmtId="10" fontId="0" fillId="9" borderId="26" xfId="2" applyNumberFormat="1" applyFont="1" applyFill="1" applyBorder="1" applyAlignment="1" applyProtection="1">
      <alignment shrinkToFit="1"/>
      <protection locked="0"/>
    </xf>
    <xf numFmtId="10" fontId="0" fillId="9" borderId="24" xfId="2" applyNumberFormat="1" applyFont="1" applyFill="1" applyBorder="1" applyAlignment="1" applyProtection="1">
      <alignment shrinkToFit="1"/>
      <protection locked="0"/>
    </xf>
    <xf numFmtId="10" fontId="0" fillId="9" borderId="19" xfId="2" applyNumberFormat="1" applyFont="1" applyFill="1" applyBorder="1" applyAlignment="1" applyProtection="1">
      <alignment shrinkToFit="1"/>
      <protection locked="0"/>
    </xf>
    <xf numFmtId="10" fontId="1" fillId="9" borderId="10" xfId="2" applyNumberFormat="1" applyFont="1" applyFill="1" applyBorder="1" applyAlignment="1" applyProtection="1">
      <alignment horizontal="center"/>
      <protection locked="0"/>
    </xf>
    <xf numFmtId="170" fontId="1" fillId="9" borderId="13" xfId="2" applyNumberFormat="1" applyFont="1" applyFill="1" applyBorder="1" applyAlignment="1" applyProtection="1">
      <alignment horizontal="center"/>
      <protection locked="0"/>
    </xf>
    <xf numFmtId="10" fontId="1" fillId="9" borderId="0" xfId="2" applyNumberFormat="1" applyFont="1" applyFill="1" applyBorder="1" applyAlignment="1" applyProtection="1">
      <alignment horizontal="center"/>
    </xf>
    <xf numFmtId="10" fontId="0" fillId="9" borderId="0" xfId="2" applyNumberFormat="1" applyFont="1" applyFill="1" applyBorder="1" applyAlignment="1" applyProtection="1">
      <alignment horizontal="center"/>
    </xf>
    <xf numFmtId="10" fontId="1" fillId="9" borderId="21" xfId="2" applyNumberFormat="1" applyFont="1" applyFill="1" applyBorder="1" applyAlignment="1" applyProtection="1">
      <alignment horizontal="center"/>
      <protection locked="0"/>
    </xf>
    <xf numFmtId="10" fontId="0" fillId="8" borderId="0" xfId="2" applyNumberFormat="1" applyFont="1" applyFill="1" applyBorder="1" applyAlignment="1" applyProtection="1">
      <alignment horizontal="center"/>
      <protection locked="0"/>
    </xf>
    <xf numFmtId="10" fontId="1" fillId="8" borderId="0" xfId="2" applyNumberFormat="1" applyFont="1" applyFill="1" applyBorder="1" applyAlignment="1" applyProtection="1">
      <alignment horizontal="center"/>
      <protection locked="0"/>
    </xf>
    <xf numFmtId="10" fontId="0" fillId="9" borderId="13" xfId="2" applyNumberFormat="1" applyFont="1" applyFill="1" applyBorder="1" applyAlignment="1" applyProtection="1">
      <alignment shrinkToFit="1"/>
      <protection locked="0"/>
    </xf>
    <xf numFmtId="10" fontId="0" fillId="9" borderId="21" xfId="2" applyNumberFormat="1" applyFont="1" applyFill="1" applyBorder="1" applyAlignment="1" applyProtection="1">
      <alignment shrinkToFit="1"/>
      <protection locked="0"/>
    </xf>
    <xf numFmtId="10" fontId="0" fillId="9" borderId="27" xfId="2" applyNumberFormat="1" applyFont="1" applyFill="1" applyBorder="1" applyAlignment="1" applyProtection="1">
      <alignment shrinkToFit="1"/>
      <protection locked="0"/>
    </xf>
    <xf numFmtId="10" fontId="1" fillId="9" borderId="0" xfId="2" applyNumberFormat="1" applyFont="1" applyFill="1" applyBorder="1" applyAlignment="1" applyProtection="1">
      <alignment horizontal="right"/>
      <protection locked="0"/>
    </xf>
    <xf numFmtId="167" fontId="2" fillId="4" borderId="73" xfId="0" applyFont="1" applyFill="1" applyBorder="1" applyAlignment="1" applyProtection="1">
      <alignment vertical="center"/>
    </xf>
    <xf numFmtId="10" fontId="1" fillId="9" borderId="0" xfId="2" applyNumberFormat="1" applyFont="1" applyFill="1" applyBorder="1" applyAlignment="1" applyProtection="1">
      <alignment horizontal="center"/>
      <protection locked="0"/>
    </xf>
    <xf numFmtId="167" fontId="0" fillId="8" borderId="77" xfId="0" applyFill="1" applyBorder="1" applyProtection="1">
      <protection locked="0"/>
    </xf>
    <xf numFmtId="167" fontId="1" fillId="8" borderId="40" xfId="0" applyFont="1" applyFill="1" applyBorder="1" applyAlignment="1" applyProtection="1">
      <alignment horizontal="center"/>
      <protection locked="0"/>
    </xf>
    <xf numFmtId="167" fontId="0" fillId="8" borderId="40" xfId="0" applyFill="1" applyBorder="1" applyAlignment="1" applyProtection="1">
      <alignment horizontal="center"/>
      <protection locked="0"/>
    </xf>
    <xf numFmtId="10" fontId="0" fillId="8" borderId="40" xfId="2" applyNumberFormat="1" applyFont="1" applyFill="1" applyBorder="1" applyProtection="1">
      <protection locked="0"/>
    </xf>
    <xf numFmtId="167" fontId="1" fillId="8" borderId="40" xfId="0" applyFont="1" applyFill="1" applyBorder="1" applyAlignment="1" applyProtection="1">
      <protection locked="0"/>
    </xf>
    <xf numFmtId="167" fontId="0" fillId="8" borderId="78" xfId="0" applyFill="1" applyBorder="1" applyProtection="1">
      <protection locked="0"/>
    </xf>
    <xf numFmtId="10" fontId="1" fillId="9" borderId="0" xfId="2" applyNumberFormat="1" applyFont="1" applyFill="1" applyProtection="1">
      <protection locked="0"/>
    </xf>
    <xf numFmtId="10" fontId="0" fillId="9" borderId="21" xfId="2" applyNumberFormat="1" applyFont="1" applyFill="1" applyBorder="1" applyAlignment="1" applyProtection="1">
      <alignment horizontal="center"/>
      <protection locked="0"/>
    </xf>
    <xf numFmtId="10" fontId="0" fillId="0" borderId="0" xfId="2" applyNumberFormat="1" applyFont="1" applyProtection="1">
      <protection locked="0"/>
    </xf>
    <xf numFmtId="10" fontId="1" fillId="0" borderId="0" xfId="2" applyNumberFormat="1" applyFont="1" applyFill="1" applyBorder="1" applyAlignment="1" applyProtection="1">
      <alignment shrinkToFit="1"/>
      <protection locked="0"/>
    </xf>
    <xf numFmtId="10" fontId="0" fillId="0" borderId="0" xfId="2" applyNumberFormat="1" applyFont="1" applyFill="1" applyBorder="1" applyAlignment="1" applyProtection="1">
      <alignment vertical="center" shrinkToFit="1"/>
      <protection locked="0"/>
    </xf>
    <xf numFmtId="10" fontId="1" fillId="9" borderId="54" xfId="2" applyNumberFormat="1" applyFont="1" applyFill="1" applyBorder="1" applyAlignment="1" applyProtection="1">
      <alignment horizontal="center"/>
      <protection locked="0"/>
    </xf>
    <xf numFmtId="10" fontId="0" fillId="9" borderId="13" xfId="2" applyNumberFormat="1" applyFont="1" applyFill="1" applyBorder="1" applyProtection="1">
      <protection locked="0"/>
    </xf>
    <xf numFmtId="10" fontId="0" fillId="9" borderId="21" xfId="2" applyNumberFormat="1" applyFont="1" applyFill="1" applyBorder="1" applyProtection="1">
      <protection locked="0"/>
    </xf>
    <xf numFmtId="10" fontId="0" fillId="9" borderId="92" xfId="2" applyNumberFormat="1" applyFont="1" applyFill="1" applyBorder="1" applyProtection="1">
      <protection locked="0"/>
    </xf>
    <xf numFmtId="10" fontId="1" fillId="9" borderId="13" xfId="2" applyNumberFormat="1" applyFont="1" applyFill="1" applyBorder="1" applyProtection="1">
      <protection locked="0"/>
    </xf>
    <xf numFmtId="10" fontId="1" fillId="9" borderId="21" xfId="2" applyNumberFormat="1" applyFont="1" applyFill="1" applyBorder="1" applyProtection="1">
      <protection locked="0"/>
    </xf>
    <xf numFmtId="10" fontId="1" fillId="9" borderId="92" xfId="2" applyNumberFormat="1" applyFont="1" applyFill="1" applyBorder="1" applyProtection="1">
      <protection locked="0"/>
    </xf>
    <xf numFmtId="10" fontId="0" fillId="9" borderId="77" xfId="2" applyNumberFormat="1" applyFont="1" applyFill="1" applyBorder="1" applyAlignment="1" applyProtection="1">
      <alignment shrinkToFit="1"/>
      <protection locked="0"/>
    </xf>
    <xf numFmtId="10" fontId="0" fillId="9" borderId="90" xfId="2" applyNumberFormat="1" applyFont="1" applyFill="1" applyBorder="1" applyAlignment="1" applyProtection="1">
      <alignment shrinkToFit="1"/>
      <protection locked="0"/>
    </xf>
    <xf numFmtId="10" fontId="0" fillId="9" borderId="95" xfId="2" applyNumberFormat="1" applyFont="1" applyFill="1" applyBorder="1" applyAlignment="1" applyProtection="1">
      <alignment shrinkToFit="1"/>
      <protection locked="0"/>
    </xf>
    <xf numFmtId="10" fontId="0" fillId="9" borderId="54" xfId="2" applyNumberFormat="1" applyFont="1" applyFill="1" applyBorder="1" applyAlignment="1" applyProtection="1">
      <alignment shrinkToFit="1"/>
      <protection locked="0"/>
    </xf>
    <xf numFmtId="10" fontId="0" fillId="9" borderId="0" xfId="2" applyNumberFormat="1" applyFont="1" applyFill="1" applyAlignment="1" applyProtection="1">
      <alignment horizontal="center"/>
      <protection locked="0"/>
    </xf>
    <xf numFmtId="167" fontId="0" fillId="9" borderId="73" xfId="0" applyFill="1" applyBorder="1" applyProtection="1">
      <protection locked="0"/>
    </xf>
    <xf numFmtId="167" fontId="0" fillId="9" borderId="0" xfId="0" applyFill="1" applyBorder="1" applyProtection="1">
      <protection locked="0"/>
    </xf>
    <xf numFmtId="167" fontId="1" fillId="9" borderId="40" xfId="0" applyFont="1" applyFill="1" applyBorder="1" applyAlignment="1" applyProtection="1">
      <alignment horizontal="center"/>
      <protection locked="0"/>
    </xf>
    <xf numFmtId="10" fontId="0" fillId="9" borderId="0" xfId="2" applyNumberFormat="1" applyFont="1" applyFill="1" applyBorder="1" applyAlignment="1" applyProtection="1">
      <alignment horizontal="center"/>
      <protection locked="0"/>
    </xf>
    <xf numFmtId="167" fontId="0" fillId="9" borderId="77" xfId="0" applyFill="1" applyBorder="1" applyProtection="1">
      <protection locked="0"/>
    </xf>
    <xf numFmtId="167" fontId="0" fillId="9" borderId="40" xfId="0" applyFill="1" applyBorder="1" applyAlignment="1" applyProtection="1">
      <alignment horizontal="center"/>
      <protection locked="0"/>
    </xf>
    <xf numFmtId="10" fontId="0" fillId="9" borderId="40" xfId="2" applyNumberFormat="1" applyFont="1" applyFill="1" applyBorder="1" applyAlignment="1" applyProtection="1">
      <alignment horizontal="center"/>
      <protection locked="0"/>
    </xf>
    <xf numFmtId="167" fontId="0" fillId="9" borderId="40" xfId="0" applyFill="1" applyBorder="1" applyProtection="1">
      <protection locked="0"/>
    </xf>
    <xf numFmtId="167" fontId="0" fillId="9" borderId="78" xfId="0" applyFill="1" applyBorder="1" applyProtection="1">
      <protection locked="0"/>
    </xf>
    <xf numFmtId="10" fontId="1" fillId="9" borderId="54" xfId="2" applyNumberFormat="1" applyFont="1" applyFill="1" applyBorder="1" applyProtection="1">
      <protection locked="0"/>
    </xf>
    <xf numFmtId="10" fontId="1" fillId="9" borderId="27" xfId="2" applyNumberFormat="1" applyFont="1" applyFill="1" applyBorder="1" applyProtection="1">
      <protection locked="0"/>
    </xf>
    <xf numFmtId="10" fontId="0" fillId="9" borderId="54" xfId="2" applyNumberFormat="1" applyFont="1" applyFill="1" applyBorder="1" applyProtection="1">
      <protection locked="0"/>
    </xf>
    <xf numFmtId="10" fontId="0" fillId="9" borderId="27" xfId="2" applyNumberFormat="1" applyFont="1" applyFill="1" applyBorder="1" applyProtection="1">
      <protection locked="0"/>
    </xf>
    <xf numFmtId="10" fontId="0" fillId="9" borderId="19" xfId="2" applyNumberFormat="1" applyFont="1" applyFill="1" applyBorder="1" applyAlignment="1" applyProtection="1">
      <alignment horizontal="right" shrinkToFit="1"/>
      <protection locked="0"/>
    </xf>
    <xf numFmtId="10" fontId="0" fillId="0" borderId="0" xfId="2" applyNumberFormat="1" applyFont="1" applyFill="1" applyBorder="1" applyAlignment="1" applyProtection="1">
      <alignment horizontal="right" shrinkToFit="1"/>
      <protection locked="0"/>
    </xf>
    <xf numFmtId="10" fontId="0" fillId="10" borderId="40" xfId="2" applyNumberFormat="1" applyFont="1" applyFill="1" applyBorder="1" applyAlignment="1" applyProtection="1">
      <alignment horizontal="right"/>
      <protection locked="0"/>
    </xf>
    <xf numFmtId="10" fontId="0" fillId="9" borderId="0" xfId="2" applyNumberFormat="1" applyFont="1" applyFill="1" applyProtection="1">
      <protection locked="0"/>
    </xf>
    <xf numFmtId="165" fontId="16" fillId="0" borderId="22" xfId="0" applyNumberFormat="1" applyFont="1" applyFill="1" applyBorder="1" applyAlignment="1" applyProtection="1">
      <alignment shrinkToFit="1"/>
      <protection locked="0"/>
    </xf>
    <xf numFmtId="167" fontId="12" fillId="0" borderId="31" xfId="0" applyFont="1" applyBorder="1" applyAlignment="1" applyProtection="1">
      <alignment horizontal="center"/>
      <protection locked="0"/>
    </xf>
    <xf numFmtId="168" fontId="11" fillId="0" borderId="55" xfId="8" applyNumberFormat="1" applyFont="1" applyFill="1" applyBorder="1" applyAlignment="1" applyProtection="1">
      <alignment horizontal="center"/>
      <protection locked="0"/>
    </xf>
    <xf numFmtId="168" fontId="11" fillId="0" borderId="22" xfId="8" applyNumberFormat="1" applyFont="1" applyFill="1" applyBorder="1" applyAlignment="1" applyProtection="1">
      <alignment horizontal="center"/>
      <protection locked="0"/>
    </xf>
    <xf numFmtId="168" fontId="11" fillId="0" borderId="71" xfId="8" applyNumberFormat="1" applyFont="1" applyFill="1" applyBorder="1" applyAlignment="1" applyProtection="1">
      <alignment horizontal="center"/>
      <protection locked="0"/>
    </xf>
    <xf numFmtId="167" fontId="12" fillId="0" borderId="3" xfId="0" applyFont="1" applyBorder="1" applyAlignment="1" applyProtection="1">
      <alignment horizontal="center"/>
      <protection locked="0"/>
    </xf>
    <xf numFmtId="170" fontId="12" fillId="4" borderId="107" xfId="2" applyNumberFormat="1" applyFont="1" applyFill="1" applyBorder="1" applyAlignment="1" applyProtection="1">
      <alignment horizontal="center"/>
      <protection locked="0"/>
    </xf>
    <xf numFmtId="170" fontId="12" fillId="4" borderId="3" xfId="2" applyNumberFormat="1" applyFont="1" applyFill="1" applyBorder="1" applyAlignment="1" applyProtection="1">
      <alignment horizontal="center"/>
      <protection locked="0"/>
    </xf>
    <xf numFmtId="170" fontId="12" fillId="0" borderId="55" xfId="12" applyNumberFormat="1" applyFont="1" applyFill="1" applyBorder="1" applyAlignment="1" applyProtection="1">
      <alignment horizontal="center"/>
      <protection locked="0"/>
    </xf>
    <xf numFmtId="170" fontId="12" fillId="0" borderId="22" xfId="12" applyNumberFormat="1" applyFont="1" applyFill="1" applyBorder="1" applyAlignment="1" applyProtection="1">
      <alignment horizontal="center"/>
      <protection locked="0"/>
    </xf>
    <xf numFmtId="170" fontId="12" fillId="0" borderId="22" xfId="12" applyNumberFormat="1" applyFont="1" applyFill="1" applyBorder="1" applyAlignment="1" applyProtection="1">
      <alignment horizontal="center" vertical="center"/>
      <protection locked="0"/>
    </xf>
    <xf numFmtId="9" fontId="12" fillId="0" borderId="22" xfId="12" applyNumberFormat="1" applyFont="1" applyFill="1" applyBorder="1" applyAlignment="1" applyProtection="1">
      <alignment horizontal="center" vertical="center"/>
      <protection locked="0"/>
    </xf>
    <xf numFmtId="9" fontId="12" fillId="0" borderId="71" xfId="12" applyNumberFormat="1" applyFont="1" applyFill="1" applyBorder="1" applyAlignment="1" applyProtection="1">
      <alignment horizontal="center" vertical="center"/>
      <protection locked="0"/>
    </xf>
    <xf numFmtId="170" fontId="12" fillId="0" borderId="31" xfId="2" applyNumberFormat="1" applyFont="1" applyBorder="1" applyAlignment="1" applyProtection="1">
      <alignment horizontal="center"/>
      <protection locked="0"/>
    </xf>
    <xf numFmtId="167" fontId="0" fillId="0" borderId="0" xfId="0" applyAlignment="1" applyProtection="1">
      <alignment horizontal="center"/>
      <protection locked="0"/>
    </xf>
    <xf numFmtId="167" fontId="2" fillId="0" borderId="1" xfId="0" applyFont="1" applyFill="1" applyBorder="1" applyAlignment="1" applyProtection="1">
      <alignment horizontal="center"/>
      <protection locked="0"/>
    </xf>
    <xf numFmtId="167" fontId="2" fillId="0" borderId="3" xfId="0" applyFont="1" applyFill="1" applyBorder="1" applyAlignment="1" applyProtection="1">
      <alignment horizontal="center"/>
      <protection locked="0"/>
    </xf>
    <xf numFmtId="168" fontId="0" fillId="0" borderId="60" xfId="8" applyNumberFormat="1" applyFont="1" applyFill="1" applyBorder="1" applyAlignment="1" applyProtection="1">
      <alignment horizontal="center" vertical="center"/>
      <protection locked="0"/>
    </xf>
    <xf numFmtId="167" fontId="2" fillId="4" borderId="5" xfId="0" applyFont="1" applyFill="1" applyBorder="1" applyAlignment="1" applyProtection="1">
      <alignment horizontal="center"/>
      <protection locked="0"/>
    </xf>
    <xf numFmtId="167" fontId="2" fillId="4" borderId="36" xfId="0" applyFont="1" applyFill="1" applyBorder="1" applyAlignment="1" applyProtection="1">
      <alignment horizontal="center"/>
      <protection locked="0"/>
    </xf>
    <xf numFmtId="167" fontId="24" fillId="4" borderId="0" xfId="0" applyFont="1" applyFill="1" applyBorder="1" applyAlignment="1" applyProtection="1">
      <alignment horizontal="center" vertical="center" wrapText="1"/>
    </xf>
    <xf numFmtId="167" fontId="45" fillId="4" borderId="0" xfId="0" applyFont="1" applyFill="1" applyBorder="1" applyAlignment="1" applyProtection="1">
      <alignment horizontal="right" vertical="center"/>
    </xf>
    <xf numFmtId="167" fontId="13" fillId="4" borderId="0" xfId="15" applyFill="1" applyBorder="1" applyAlignment="1" applyProtection="1">
      <alignment horizontal="left" vertical="center"/>
    </xf>
    <xf numFmtId="167" fontId="2" fillId="4" borderId="0" xfId="0" applyFont="1" applyFill="1" applyBorder="1" applyAlignment="1" applyProtection="1">
      <alignment horizontal="right" vertical="top"/>
    </xf>
    <xf numFmtId="167" fontId="0" fillId="0" borderId="0" xfId="0" applyAlignment="1" applyProtection="1">
      <alignment horizontal="center"/>
      <protection locked="0"/>
    </xf>
    <xf numFmtId="10" fontId="1" fillId="0" borderId="0" xfId="2" applyNumberFormat="1" applyFont="1" applyFill="1" applyBorder="1" applyAlignment="1" applyProtection="1">
      <alignment horizontal="right"/>
      <protection locked="0"/>
    </xf>
    <xf numFmtId="167" fontId="1" fillId="0" borderId="0" xfId="0" applyFont="1" applyFill="1" applyBorder="1" applyAlignment="1" applyProtection="1">
      <protection locked="0"/>
    </xf>
    <xf numFmtId="167" fontId="1" fillId="0" borderId="0" xfId="0" applyFont="1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right"/>
      <protection locked="0"/>
    </xf>
    <xf numFmtId="10" fontId="1" fillId="0" borderId="0" xfId="2" applyNumberFormat="1" applyFont="1" applyFill="1" applyBorder="1" applyAlignment="1" applyProtection="1">
      <alignment horizontal="center"/>
      <protection locked="0"/>
    </xf>
    <xf numFmtId="10" fontId="1" fillId="0" borderId="0" xfId="2" applyNumberFormat="1" applyFont="1" applyFill="1" applyBorder="1" applyAlignment="1" applyProtection="1">
      <protection locked="0"/>
    </xf>
    <xf numFmtId="10" fontId="0" fillId="0" borderId="0" xfId="2" applyNumberFormat="1" applyFont="1" applyFill="1" applyBorder="1" applyAlignment="1" applyProtection="1">
      <alignment horizontal="center"/>
      <protection locked="0"/>
    </xf>
    <xf numFmtId="10" fontId="1" fillId="0" borderId="0" xfId="2" applyNumberFormat="1" applyFont="1" applyFill="1" applyBorder="1" applyAlignment="1" applyProtection="1">
      <alignment horizontal="right"/>
    </xf>
    <xf numFmtId="167" fontId="0" fillId="0" borderId="0" xfId="0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right"/>
    </xf>
    <xf numFmtId="10" fontId="1" fillId="0" borderId="0" xfId="2" applyNumberFormat="1" applyFont="1" applyFill="1" applyBorder="1" applyAlignment="1" applyProtection="1"/>
    <xf numFmtId="167" fontId="1" fillId="0" borderId="0" xfId="0" applyFont="1" applyFill="1" applyBorder="1" applyAlignment="1" applyProtection="1">
      <alignment horizontal="left"/>
      <protection locked="0"/>
    </xf>
    <xf numFmtId="10" fontId="0" fillId="0" borderId="0" xfId="2" applyNumberFormat="1" applyFont="1" applyFill="1" applyBorder="1" applyAlignment="1" applyProtection="1">
      <alignment horizontal="left"/>
      <protection locked="0"/>
    </xf>
    <xf numFmtId="167" fontId="1" fillId="0" borderId="0" xfId="0" applyFont="1" applyFill="1" applyBorder="1" applyAlignment="1" applyProtection="1"/>
    <xf numFmtId="10" fontId="1" fillId="0" borderId="0" xfId="2" applyNumberFormat="1" applyFont="1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center"/>
    </xf>
    <xf numFmtId="10" fontId="1" fillId="0" borderId="0" xfId="2" applyNumberFormat="1" applyFont="1" applyFill="1" applyBorder="1" applyAlignment="1" applyProtection="1">
      <alignment horizontal="left"/>
    </xf>
    <xf numFmtId="167" fontId="0" fillId="0" borderId="0" xfId="0" applyFill="1" applyBorder="1" applyAlignment="1" applyProtection="1">
      <alignment horizontal="right"/>
    </xf>
    <xf numFmtId="167" fontId="0" fillId="0" borderId="0" xfId="0" applyFill="1" applyBorder="1" applyAlignment="1" applyProtection="1">
      <alignment horizontal="left"/>
      <protection locked="0"/>
    </xf>
    <xf numFmtId="10" fontId="0" fillId="0" borderId="0" xfId="2" applyNumberFormat="1" applyFont="1" applyFill="1" applyBorder="1" applyAlignment="1" applyProtection="1">
      <alignment horizontal="left"/>
    </xf>
    <xf numFmtId="10" fontId="0" fillId="0" borderId="0" xfId="2" applyNumberFormat="1" applyFont="1" applyFill="1" applyBorder="1" applyAlignment="1" applyProtection="1">
      <alignment horizontal="center" shrinkToFit="1"/>
    </xf>
    <xf numFmtId="10" fontId="1" fillId="0" borderId="0" xfId="2" applyNumberFormat="1" applyFont="1" applyFill="1" applyBorder="1" applyAlignment="1" applyProtection="1">
      <alignment horizontal="right" shrinkToFit="1"/>
    </xf>
    <xf numFmtId="10" fontId="0" fillId="0" borderId="0" xfId="2" applyNumberFormat="1" applyFont="1" applyFill="1" applyBorder="1" applyAlignment="1" applyProtection="1">
      <alignment horizontal="right" shrinkToFit="1"/>
    </xf>
    <xf numFmtId="167" fontId="1" fillId="0" borderId="0" xfId="0" applyFont="1" applyFill="1" applyBorder="1" applyProtection="1"/>
    <xf numFmtId="10" fontId="0" fillId="0" borderId="0" xfId="2" quotePrefix="1" applyNumberFormat="1" applyFont="1" applyFill="1" applyBorder="1" applyAlignment="1" applyProtection="1">
      <alignment horizontal="center"/>
      <protection locked="0"/>
    </xf>
    <xf numFmtId="167" fontId="10" fillId="4" borderId="0" xfId="0" applyFont="1" applyFill="1" applyBorder="1" applyAlignment="1" applyProtection="1">
      <alignment horizontal="center" vertical="center"/>
    </xf>
    <xf numFmtId="167" fontId="24" fillId="4" borderId="0" xfId="0" applyFont="1" applyFill="1" applyBorder="1" applyAlignment="1" applyProtection="1">
      <alignment vertical="center" wrapText="1"/>
    </xf>
    <xf numFmtId="167" fontId="24" fillId="4" borderId="0" xfId="0" applyFont="1" applyFill="1" applyBorder="1" applyAlignment="1" applyProtection="1">
      <alignment vertical="center"/>
    </xf>
    <xf numFmtId="167" fontId="24" fillId="4" borderId="0" xfId="0" applyFont="1" applyFill="1" applyBorder="1" applyAlignment="1" applyProtection="1">
      <alignment horizontal="left" vertical="center"/>
    </xf>
    <xf numFmtId="167" fontId="21" fillId="4" borderId="0" xfId="0" applyFont="1" applyFill="1" applyBorder="1" applyAlignment="1" applyProtection="1">
      <alignment shrinkToFit="1"/>
    </xf>
    <xf numFmtId="167" fontId="2" fillId="4" borderId="0" xfId="0" applyFont="1" applyFill="1" applyBorder="1" applyAlignment="1" applyProtection="1">
      <alignment vertical="center" shrinkToFit="1"/>
      <protection locked="0"/>
    </xf>
    <xf numFmtId="167" fontId="13" fillId="4" borderId="0" xfId="15" applyFill="1" applyBorder="1" applyAlignment="1" applyProtection="1">
      <alignment horizontal="left" vertical="center"/>
    </xf>
    <xf numFmtId="167" fontId="0" fillId="0" borderId="0" xfId="0" applyAlignment="1" applyProtection="1">
      <alignment horizontal="center"/>
      <protection locked="0"/>
    </xf>
    <xf numFmtId="167" fontId="0" fillId="0" borderId="0" xfId="0" applyFill="1" applyBorder="1" applyAlignment="1" applyProtection="1">
      <alignment horizontal="center"/>
      <protection locked="0"/>
    </xf>
    <xf numFmtId="167" fontId="0" fillId="0" borderId="0" xfId="0" applyFill="1" applyAlignment="1" applyProtection="1">
      <alignment shrinkToFit="1"/>
      <protection locked="0"/>
    </xf>
    <xf numFmtId="167" fontId="0" fillId="0" borderId="0" xfId="0" applyFill="1" applyAlignment="1" applyProtection="1">
      <alignment horizontal="center"/>
      <protection locked="0"/>
    </xf>
    <xf numFmtId="167" fontId="0" fillId="0" borderId="0" xfId="0" applyAlignment="1" applyProtection="1">
      <alignment horizontal="center"/>
    </xf>
    <xf numFmtId="2" fontId="0" fillId="0" borderId="0" xfId="0" applyNumberFormat="1" applyFill="1" applyBorder="1" applyAlignment="1" applyProtection="1">
      <protection locked="0"/>
    </xf>
    <xf numFmtId="2" fontId="0" fillId="0" borderId="0" xfId="0" applyNumberFormat="1" applyFill="1" applyBorder="1" applyProtection="1">
      <protection locked="0"/>
    </xf>
    <xf numFmtId="168" fontId="0" fillId="0" borderId="0" xfId="8" applyNumberFormat="1" applyFont="1" applyFill="1" applyBorder="1" applyAlignment="1" applyProtection="1">
      <alignment horizontal="center" vertical="center"/>
      <protection locked="0"/>
    </xf>
    <xf numFmtId="168" fontId="1" fillId="4" borderId="0" xfId="8" applyNumberFormat="1" applyFont="1" applyFill="1" applyBorder="1" applyAlignment="1" applyProtection="1">
      <alignment horizontal="center" vertical="center"/>
      <protection locked="0"/>
    </xf>
    <xf numFmtId="167" fontId="13" fillId="4" borderId="0" xfId="15" applyFill="1" applyBorder="1" applyAlignment="1" applyProtection="1">
      <alignment horizontal="left" vertical="center"/>
    </xf>
    <xf numFmtId="167" fontId="0" fillId="0" borderId="0" xfId="0" applyAlignment="1" applyProtection="1">
      <alignment horizontal="center"/>
      <protection locked="0"/>
    </xf>
    <xf numFmtId="167" fontId="49" fillId="0" borderId="0" xfId="0" applyFont="1" applyFill="1" applyBorder="1" applyAlignment="1" applyProtection="1">
      <alignment horizontal="left"/>
    </xf>
    <xf numFmtId="167" fontId="49" fillId="0" borderId="0" xfId="0" applyFont="1" applyFill="1" applyBorder="1" applyAlignment="1" applyProtection="1"/>
    <xf numFmtId="167" fontId="37" fillId="0" borderId="0" xfId="0" applyFont="1" applyFill="1" applyBorder="1" applyProtection="1"/>
    <xf numFmtId="167" fontId="49" fillId="0" borderId="0" xfId="0" applyFont="1" applyFill="1" applyBorder="1" applyAlignment="1" applyProtection="1">
      <protection locked="0"/>
    </xf>
    <xf numFmtId="167" fontId="37" fillId="0" borderId="0" xfId="0" applyFont="1" applyFill="1" applyBorder="1" applyProtection="1">
      <protection locked="0"/>
    </xf>
    <xf numFmtId="10" fontId="37" fillId="0" borderId="0" xfId="2" applyNumberFormat="1" applyFont="1" applyFill="1" applyBorder="1" applyAlignment="1" applyProtection="1">
      <alignment shrinkToFit="1"/>
      <protection locked="0"/>
    </xf>
    <xf numFmtId="167" fontId="49" fillId="0" borderId="0" xfId="0" applyFont="1" applyFill="1" applyBorder="1" applyAlignment="1" applyProtection="1">
      <alignment vertical="center"/>
      <protection locked="0"/>
    </xf>
    <xf numFmtId="167" fontId="37" fillId="0" borderId="0" xfId="0" applyFont="1" applyFill="1" applyBorder="1" applyAlignment="1" applyProtection="1">
      <alignment horizontal="center"/>
      <protection locked="0"/>
    </xf>
    <xf numFmtId="10" fontId="37" fillId="0" borderId="0" xfId="2" applyNumberFormat="1" applyFont="1" applyFill="1" applyBorder="1" applyAlignment="1" applyProtection="1">
      <alignment horizontal="right"/>
      <protection locked="0"/>
    </xf>
    <xf numFmtId="167" fontId="37" fillId="0" borderId="0" xfId="0" applyFont="1" applyFill="1" applyBorder="1" applyAlignment="1" applyProtection="1">
      <protection locked="0"/>
    </xf>
    <xf numFmtId="167" fontId="37" fillId="0" borderId="0" xfId="0" applyFont="1" applyFill="1" applyBorder="1" applyAlignment="1" applyProtection="1">
      <alignment horizontal="center"/>
    </xf>
    <xf numFmtId="167" fontId="37" fillId="0" borderId="0" xfId="0" applyFont="1" applyFill="1" applyBorder="1" applyAlignment="1" applyProtection="1">
      <alignment shrinkToFit="1"/>
      <protection locked="0"/>
    </xf>
    <xf numFmtId="167" fontId="49" fillId="0" borderId="0" xfId="0" applyFont="1" applyFill="1" applyBorder="1" applyAlignment="1" applyProtection="1">
      <alignment horizontal="center"/>
      <protection locked="0"/>
    </xf>
    <xf numFmtId="167" fontId="55" fillId="0" borderId="0" xfId="0" applyFont="1" applyFill="1" applyBorder="1" applyAlignment="1" applyProtection="1">
      <alignment vertical="center"/>
      <protection locked="0"/>
    </xf>
    <xf numFmtId="10" fontId="37" fillId="0" borderId="0" xfId="2" applyNumberFormat="1" applyFont="1" applyFill="1" applyBorder="1" applyAlignment="1" applyProtection="1">
      <alignment horizontal="center"/>
      <protection locked="0"/>
    </xf>
    <xf numFmtId="10" fontId="37" fillId="0" borderId="0" xfId="2" applyNumberFormat="1" applyFont="1" applyFill="1" applyBorder="1" applyProtection="1">
      <protection locked="0"/>
    </xf>
    <xf numFmtId="10" fontId="37" fillId="0" borderId="0" xfId="2" applyNumberFormat="1" applyFont="1" applyFill="1" applyBorder="1" applyAlignment="1" applyProtection="1">
      <protection locked="0"/>
    </xf>
    <xf numFmtId="167" fontId="49" fillId="0" borderId="0" xfId="0" applyFont="1" applyFill="1" applyBorder="1" applyAlignment="1" applyProtection="1">
      <alignment horizontal="left" vertical="center"/>
      <protection locked="0"/>
    </xf>
    <xf numFmtId="165" fontId="53" fillId="0" borderId="0" xfId="0" applyNumberFormat="1" applyFont="1" applyFill="1" applyBorder="1" applyProtection="1">
      <protection locked="0"/>
    </xf>
    <xf numFmtId="167" fontId="53" fillId="0" borderId="0" xfId="0" applyFont="1" applyFill="1" applyBorder="1" applyProtection="1">
      <protection locked="0"/>
    </xf>
    <xf numFmtId="165" fontId="53" fillId="0" borderId="0" xfId="0" applyNumberFormat="1" applyFont="1" applyFill="1" applyBorder="1" applyAlignment="1" applyProtection="1">
      <alignment horizontal="right" shrinkToFit="1"/>
      <protection locked="0"/>
    </xf>
    <xf numFmtId="165" fontId="53" fillId="0" borderId="0" xfId="0" applyNumberFormat="1" applyFont="1" applyFill="1" applyBorder="1" applyAlignment="1" applyProtection="1">
      <alignment shrinkToFit="1"/>
      <protection locked="0"/>
    </xf>
    <xf numFmtId="168" fontId="49" fillId="0" borderId="0" xfId="27" applyNumberFormat="1" applyFont="1" applyFill="1" applyBorder="1" applyAlignment="1" applyProtection="1">
      <alignment horizontal="center" vertical="center"/>
      <protection locked="0"/>
    </xf>
    <xf numFmtId="10" fontId="49" fillId="0" borderId="0" xfId="2" applyNumberFormat="1" applyFont="1" applyFill="1" applyBorder="1" applyAlignment="1" applyProtection="1">
      <alignment horizontal="center"/>
      <protection locked="0"/>
    </xf>
    <xf numFmtId="44" fontId="49" fillId="0" borderId="0" xfId="1" applyFont="1" applyFill="1" applyBorder="1" applyAlignment="1" applyProtection="1">
      <alignment horizontal="center"/>
      <protection locked="0"/>
    </xf>
    <xf numFmtId="10" fontId="37" fillId="0" borderId="0" xfId="0" applyNumberFormat="1" applyFont="1" applyFill="1" applyBorder="1" applyAlignment="1" applyProtection="1">
      <alignment horizontal="center" shrinkToFit="1"/>
      <protection locked="0"/>
    </xf>
    <xf numFmtId="0" fontId="58" fillId="0" borderId="0" xfId="19" applyFont="1" applyFill="1" applyBorder="1" applyAlignment="1" applyProtection="1">
      <alignment horizontal="center"/>
      <protection locked="0"/>
    </xf>
    <xf numFmtId="167" fontId="37" fillId="0" borderId="0" xfId="0" applyFont="1" applyFill="1" applyBorder="1" applyAlignment="1" applyProtection="1">
      <alignment horizontal="center" vertical="center"/>
      <protection locked="0"/>
    </xf>
    <xf numFmtId="168" fontId="37" fillId="0" borderId="0" xfId="27" applyNumberFormat="1" applyFont="1" applyFill="1" applyBorder="1" applyAlignment="1" applyProtection="1">
      <alignment horizontal="center" vertical="center"/>
      <protection locked="0"/>
    </xf>
    <xf numFmtId="10" fontId="37" fillId="0" borderId="0" xfId="2" applyNumberFormat="1" applyFont="1" applyFill="1" applyBorder="1" applyAlignment="1" applyProtection="1">
      <alignment vertical="center" shrinkToFit="1"/>
      <protection locked="0"/>
    </xf>
    <xf numFmtId="167" fontId="49" fillId="0" borderId="0" xfId="0" applyFont="1" applyFill="1" applyBorder="1" applyAlignment="1" applyProtection="1">
      <alignment horizontal="left"/>
      <protection locked="0"/>
    </xf>
    <xf numFmtId="167" fontId="50" fillId="0" borderId="0" xfId="0" applyFont="1" applyFill="1" applyBorder="1" applyAlignment="1" applyProtection="1">
      <alignment horizontal="center" vertical="top" shrinkToFit="1"/>
      <protection locked="0"/>
    </xf>
    <xf numFmtId="10" fontId="37" fillId="0" borderId="0" xfId="2" applyNumberFormat="1" applyFont="1" applyFill="1" applyBorder="1" applyAlignment="1" applyProtection="1">
      <alignment horizontal="right"/>
    </xf>
    <xf numFmtId="8" fontId="49" fillId="0" borderId="0" xfId="8" applyNumberFormat="1" applyFont="1" applyFill="1" applyBorder="1" applyAlignment="1" applyProtection="1">
      <alignment horizontal="center" vertical="center" shrinkToFit="1"/>
      <protection locked="0"/>
    </xf>
    <xf numFmtId="0" fontId="49" fillId="0" borderId="0" xfId="16" applyFont="1" applyFill="1" applyBorder="1" applyAlignment="1" applyProtection="1">
      <alignment horizontal="center" vertical="center" wrapText="1" shrinkToFit="1"/>
      <protection locked="0"/>
    </xf>
    <xf numFmtId="8" fontId="37" fillId="0" borderId="0" xfId="8" applyNumberFormat="1" applyFont="1" applyFill="1" applyBorder="1" applyAlignment="1" applyProtection="1">
      <alignment horizontal="center" vertical="center" shrinkToFit="1"/>
      <protection locked="0"/>
    </xf>
    <xf numFmtId="167" fontId="49" fillId="0" borderId="0" xfId="0" applyFont="1" applyFill="1" applyBorder="1" applyAlignment="1" applyProtection="1">
      <alignment horizontal="center" vertical="center"/>
      <protection locked="0"/>
    </xf>
    <xf numFmtId="168" fontId="58" fillId="0" borderId="0" xfId="8" applyNumberFormat="1" applyFont="1" applyFill="1" applyBorder="1" applyAlignment="1" applyProtection="1">
      <alignment horizontal="center" vertical="center" shrinkToFit="1"/>
      <protection locked="0"/>
    </xf>
    <xf numFmtId="168" fontId="58" fillId="0" borderId="0" xfId="8" applyNumberFormat="1" applyFont="1" applyFill="1" applyBorder="1" applyAlignment="1" applyProtection="1">
      <alignment shrinkToFit="1"/>
      <protection locked="0"/>
    </xf>
    <xf numFmtId="165" fontId="53" fillId="0" borderId="0" xfId="0" applyNumberFormat="1" applyFont="1" applyFill="1" applyBorder="1" applyAlignment="1" applyProtection="1">
      <alignment horizontal="center"/>
      <protection locked="0"/>
    </xf>
    <xf numFmtId="166" fontId="53" fillId="0" borderId="0" xfId="0" applyNumberFormat="1" applyFont="1" applyFill="1" applyBorder="1" applyProtection="1">
      <protection locked="0"/>
    </xf>
    <xf numFmtId="1" fontId="37" fillId="0" borderId="0" xfId="8" applyNumberFormat="1" applyFont="1" applyFill="1" applyBorder="1" applyAlignment="1" applyProtection="1">
      <alignment horizontal="center"/>
      <protection locked="0"/>
    </xf>
    <xf numFmtId="167" fontId="37" fillId="0" borderId="0" xfId="0" applyFont="1" applyFill="1" applyBorder="1" applyAlignment="1" applyProtection="1">
      <alignment vertical="center"/>
    </xf>
    <xf numFmtId="165" fontId="54" fillId="0" borderId="0" xfId="0" applyNumberFormat="1" applyFont="1" applyFill="1" applyBorder="1" applyAlignment="1" applyProtection="1">
      <alignment horizontal="center"/>
      <protection locked="0"/>
    </xf>
    <xf numFmtId="167" fontId="37" fillId="0" borderId="0" xfId="0" applyFont="1" applyFill="1" applyBorder="1" applyAlignment="1" applyProtection="1"/>
    <xf numFmtId="10" fontId="37" fillId="0" borderId="0" xfId="2" applyNumberFormat="1" applyFont="1" applyFill="1" applyBorder="1" applyAlignment="1" applyProtection="1">
      <alignment horizontal="center"/>
    </xf>
    <xf numFmtId="1" fontId="37" fillId="0" borderId="0" xfId="8" applyNumberFormat="1" applyFont="1" applyFill="1" applyBorder="1" applyAlignment="1" applyProtection="1">
      <alignment horizontal="center" shrinkToFit="1"/>
      <protection locked="0"/>
    </xf>
    <xf numFmtId="167" fontId="54" fillId="0" borderId="0" xfId="0" applyFont="1" applyFill="1" applyBorder="1" applyAlignment="1" applyProtection="1">
      <alignment horizontal="center"/>
      <protection locked="0"/>
    </xf>
    <xf numFmtId="167" fontId="37" fillId="0" borderId="0" xfId="0" applyFont="1" applyFill="1" applyBorder="1" applyAlignment="1" applyProtection="1">
      <alignment vertical="center" shrinkToFit="1"/>
      <protection locked="0"/>
    </xf>
    <xf numFmtId="0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10" fontId="37" fillId="0" borderId="0" xfId="2" applyNumberFormat="1" applyFont="1" applyFill="1" applyBorder="1" applyAlignment="1" applyProtection="1"/>
    <xf numFmtId="167" fontId="37" fillId="0" borderId="0" xfId="15" applyFont="1" applyFill="1" applyBorder="1" applyAlignment="1" applyProtection="1">
      <alignment horizontal="center" shrinkToFit="1"/>
      <protection locked="0"/>
    </xf>
    <xf numFmtId="10" fontId="37" fillId="0" borderId="0" xfId="2" applyNumberFormat="1" applyFont="1" applyFill="1" applyBorder="1" applyAlignment="1" applyProtection="1">
      <alignment horizontal="left"/>
      <protection locked="0"/>
    </xf>
    <xf numFmtId="167" fontId="37" fillId="0" borderId="0" xfId="0" applyFont="1" applyFill="1" applyBorder="1" applyAlignment="1" applyProtection="1">
      <alignment horizontal="left"/>
      <protection locked="0"/>
    </xf>
    <xf numFmtId="168" fontId="37" fillId="0" borderId="0" xfId="8" applyNumberFormat="1" applyFont="1" applyFill="1" applyBorder="1" applyAlignment="1" applyProtection="1">
      <alignment horizontal="center" vertical="center"/>
      <protection locked="0"/>
    </xf>
    <xf numFmtId="2" fontId="37" fillId="0" borderId="0" xfId="0" applyNumberFormat="1" applyFont="1" applyFill="1" applyBorder="1" applyAlignment="1" applyProtection="1">
      <protection locked="0"/>
    </xf>
    <xf numFmtId="0" fontId="52" fillId="0" borderId="0" xfId="8" applyNumberFormat="1" applyFont="1" applyFill="1" applyBorder="1" applyAlignment="1" applyProtection="1">
      <alignment horizontal="center" vertical="center"/>
      <protection locked="0"/>
    </xf>
    <xf numFmtId="167" fontId="50" fillId="0" borderId="0" xfId="0" applyFont="1" applyFill="1" applyBorder="1" applyAlignment="1" applyProtection="1">
      <protection locked="0"/>
    </xf>
    <xf numFmtId="167" fontId="49" fillId="0" borderId="0" xfId="0" applyFont="1" applyFill="1" applyBorder="1" applyProtection="1">
      <protection locked="0"/>
    </xf>
    <xf numFmtId="0" fontId="37" fillId="0" borderId="0" xfId="8" applyNumberFormat="1" applyFont="1" applyFill="1" applyBorder="1" applyAlignment="1" applyProtection="1">
      <alignment horizontal="center" vertical="center"/>
      <protection locked="0"/>
    </xf>
    <xf numFmtId="170" fontId="37" fillId="0" borderId="0" xfId="2" applyNumberFormat="1" applyFont="1" applyFill="1" applyBorder="1" applyAlignment="1" applyProtection="1">
      <alignment horizontal="center"/>
      <protection locked="0"/>
    </xf>
    <xf numFmtId="166" fontId="53" fillId="0" borderId="0" xfId="0" applyNumberFormat="1" applyFont="1" applyFill="1" applyBorder="1" applyAlignment="1" applyProtection="1">
      <alignment shrinkToFit="1"/>
      <protection locked="0"/>
    </xf>
    <xf numFmtId="2" fontId="53" fillId="0" borderId="0" xfId="0" applyNumberFormat="1" applyFont="1" applyFill="1" applyBorder="1" applyAlignment="1" applyProtection="1">
      <alignment shrinkToFit="1"/>
      <protection locked="0"/>
    </xf>
    <xf numFmtId="164" fontId="53" fillId="0" borderId="0" xfId="0" applyNumberFormat="1" applyFont="1" applyFill="1" applyBorder="1" applyAlignment="1" applyProtection="1">
      <alignment shrinkToFit="1"/>
      <protection locked="0"/>
    </xf>
    <xf numFmtId="166" fontId="54" fillId="0" borderId="0" xfId="0" applyNumberFormat="1" applyFont="1" applyFill="1" applyBorder="1" applyAlignment="1" applyProtection="1">
      <alignment horizontal="center"/>
      <protection locked="0"/>
    </xf>
    <xf numFmtId="167" fontId="53" fillId="0" borderId="0" xfId="1" applyNumberFormat="1" applyFont="1" applyFill="1" applyBorder="1" applyAlignment="1" applyProtection="1">
      <alignment shrinkToFit="1"/>
      <protection locked="0"/>
    </xf>
    <xf numFmtId="2" fontId="53" fillId="0" borderId="0" xfId="1" applyNumberFormat="1" applyFont="1" applyFill="1" applyBorder="1" applyAlignment="1" applyProtection="1">
      <alignment shrinkToFit="1"/>
      <protection locked="0"/>
    </xf>
    <xf numFmtId="167" fontId="49" fillId="0" borderId="0" xfId="0" applyFont="1" applyFill="1" applyBorder="1" applyAlignment="1" applyProtection="1">
      <alignment shrinkToFit="1"/>
      <protection locked="0"/>
    </xf>
    <xf numFmtId="167" fontId="54" fillId="0" borderId="0" xfId="0" applyFont="1" applyFill="1" applyBorder="1" applyProtection="1">
      <protection locked="0"/>
    </xf>
    <xf numFmtId="167" fontId="53" fillId="0" borderId="0" xfId="0" applyFont="1" applyFill="1" applyBorder="1" applyAlignment="1" applyProtection="1">
      <protection locked="0"/>
    </xf>
    <xf numFmtId="44" fontId="53" fillId="0" borderId="0" xfId="1" applyNumberFormat="1" applyFont="1" applyFill="1" applyBorder="1" applyAlignment="1" applyProtection="1">
      <alignment shrinkToFit="1"/>
      <protection locked="0"/>
    </xf>
    <xf numFmtId="171" fontId="37" fillId="0" borderId="0" xfId="27" applyNumberFormat="1" applyFont="1" applyFill="1" applyBorder="1" applyAlignment="1" applyProtection="1">
      <alignment horizontal="center" vertical="center"/>
      <protection locked="0"/>
    </xf>
    <xf numFmtId="0" fontId="49" fillId="0" borderId="0" xfId="0" applyNumberFormat="1" applyFont="1" applyFill="1" applyBorder="1" applyAlignment="1" applyProtection="1">
      <alignment horizontal="center"/>
      <protection locked="0"/>
    </xf>
    <xf numFmtId="10" fontId="49" fillId="0" borderId="0" xfId="2" applyNumberFormat="1" applyFont="1" applyFill="1" applyBorder="1" applyAlignment="1" applyProtection="1">
      <alignment horizontal="center" shrinkToFit="1"/>
      <protection locked="0"/>
    </xf>
    <xf numFmtId="17" fontId="49" fillId="0" borderId="0" xfId="19" applyNumberFormat="1" applyFont="1" applyFill="1" applyBorder="1" applyAlignment="1" applyProtection="1">
      <alignment horizontal="left"/>
      <protection locked="0"/>
    </xf>
    <xf numFmtId="167" fontId="55" fillId="0" borderId="0" xfId="0" applyFont="1" applyFill="1" applyBorder="1" applyAlignment="1" applyProtection="1">
      <alignment horizontal="center"/>
      <protection locked="0"/>
    </xf>
    <xf numFmtId="10" fontId="37" fillId="0" borderId="0" xfId="2" applyNumberFormat="1" applyFont="1" applyFill="1" applyBorder="1" applyAlignment="1" applyProtection="1">
      <alignment horizontal="center" vertical="center"/>
      <protection locked="0"/>
    </xf>
    <xf numFmtId="16" fontId="49" fillId="0" borderId="0" xfId="19" applyNumberFormat="1" applyFont="1" applyFill="1" applyBorder="1" applyAlignment="1" applyProtection="1">
      <alignment horizontal="left"/>
      <protection locked="0"/>
    </xf>
    <xf numFmtId="0" fontId="49" fillId="0" borderId="0" xfId="19" applyFont="1" applyFill="1" applyBorder="1" applyAlignment="1" applyProtection="1">
      <alignment horizontal="center"/>
      <protection locked="0"/>
    </xf>
    <xf numFmtId="10" fontId="49" fillId="0" borderId="0" xfId="0" applyNumberFormat="1" applyFont="1" applyFill="1" applyBorder="1" applyAlignment="1" applyProtection="1">
      <alignment horizontal="center"/>
      <protection locked="0"/>
    </xf>
    <xf numFmtId="10" fontId="53" fillId="0" borderId="0" xfId="0" applyNumberFormat="1" applyFont="1" applyFill="1" applyBorder="1" applyAlignment="1" applyProtection="1">
      <alignment horizontal="right" shrinkToFit="1"/>
      <protection locked="0"/>
    </xf>
    <xf numFmtId="10" fontId="37" fillId="0" borderId="0" xfId="0" applyNumberFormat="1" applyFont="1" applyFill="1" applyBorder="1" applyProtection="1">
      <protection locked="0"/>
    </xf>
    <xf numFmtId="165" fontId="53" fillId="0" borderId="0" xfId="0" applyNumberFormat="1" applyFont="1" applyFill="1" applyBorder="1" applyAlignment="1" applyProtection="1">
      <alignment horizontal="left"/>
      <protection locked="0"/>
    </xf>
    <xf numFmtId="10" fontId="49" fillId="0" borderId="0" xfId="0" applyNumberFormat="1" applyFont="1" applyFill="1" applyBorder="1" applyAlignment="1" applyProtection="1">
      <alignment horizontal="center" shrinkToFit="1"/>
      <protection locked="0"/>
    </xf>
    <xf numFmtId="10" fontId="37" fillId="0" borderId="0" xfId="2" applyNumberFormat="1" applyFont="1" applyFill="1" applyBorder="1" applyAlignment="1" applyProtection="1">
      <alignment vertical="center"/>
      <protection locked="0"/>
    </xf>
    <xf numFmtId="0" fontId="49" fillId="0" borderId="0" xfId="16" applyFont="1" applyFill="1" applyBorder="1" applyAlignment="1" applyProtection="1">
      <alignment horizontal="center" vertical="center" shrinkToFit="1"/>
      <protection locked="0"/>
    </xf>
    <xf numFmtId="10" fontId="37" fillId="0" borderId="0" xfId="2" applyNumberFormat="1" applyFont="1" applyFill="1" applyBorder="1" applyAlignment="1" applyProtection="1">
      <alignment horizontal="right" shrinkToFit="1"/>
      <protection locked="0"/>
    </xf>
    <xf numFmtId="168" fontId="60" fillId="0" borderId="0" xfId="8" applyNumberFormat="1" applyFont="1" applyFill="1" applyBorder="1" applyAlignment="1" applyProtection="1">
      <alignment horizontal="center"/>
      <protection locked="0"/>
    </xf>
    <xf numFmtId="170" fontId="58" fillId="0" borderId="0" xfId="12" applyNumberFormat="1" applyFont="1" applyFill="1" applyBorder="1" applyAlignment="1" applyProtection="1">
      <alignment horizontal="center"/>
      <protection locked="0"/>
    </xf>
    <xf numFmtId="170" fontId="58" fillId="0" borderId="0" xfId="12" applyNumberFormat="1" applyFont="1" applyFill="1" applyBorder="1" applyAlignment="1" applyProtection="1">
      <alignment horizontal="center" vertical="center"/>
      <protection locked="0"/>
    </xf>
    <xf numFmtId="9" fontId="58" fillId="0" borderId="0" xfId="12" applyNumberFormat="1" applyFont="1" applyFill="1" applyBorder="1" applyAlignment="1" applyProtection="1">
      <alignment horizontal="center" vertical="center"/>
      <protection locked="0"/>
    </xf>
    <xf numFmtId="168" fontId="58" fillId="0" borderId="0" xfId="27" applyNumberFormat="1" applyFont="1" applyFill="1" applyBorder="1" applyAlignment="1" applyProtection="1">
      <alignment horizontal="center"/>
      <protection locked="0"/>
    </xf>
    <xf numFmtId="168" fontId="58" fillId="0" borderId="0" xfId="27" applyNumberFormat="1" applyFont="1" applyFill="1" applyBorder="1" applyAlignment="1" applyProtection="1">
      <alignment horizontal="center"/>
    </xf>
    <xf numFmtId="167" fontId="49" fillId="0" borderId="0" xfId="0" applyFont="1" applyFill="1" applyBorder="1" applyProtection="1"/>
    <xf numFmtId="10" fontId="49" fillId="0" borderId="0" xfId="2" applyNumberFormat="1" applyFont="1" applyFill="1" applyBorder="1" applyAlignment="1" applyProtection="1">
      <protection locked="0"/>
    </xf>
    <xf numFmtId="167" fontId="50" fillId="0" borderId="0" xfId="0" applyFont="1" applyFill="1" applyBorder="1" applyAlignment="1" applyProtection="1">
      <alignment horizontal="center"/>
      <protection locked="0"/>
    </xf>
    <xf numFmtId="0" fontId="37" fillId="0" borderId="0" xfId="2" applyNumberFormat="1" applyFont="1" applyFill="1" applyBorder="1" applyAlignment="1" applyProtection="1">
      <alignment horizontal="center"/>
      <protection locked="0"/>
    </xf>
    <xf numFmtId="167" fontId="50" fillId="0" borderId="0" xfId="0" applyFont="1" applyFill="1" applyBorder="1" applyProtection="1">
      <protection locked="0"/>
    </xf>
    <xf numFmtId="167" fontId="37" fillId="0" borderId="0" xfId="0" applyFont="1" applyFill="1" applyBorder="1" applyAlignment="1" applyProtection="1">
      <alignment horizontal="center" shrinkToFit="1"/>
      <protection locked="0"/>
    </xf>
    <xf numFmtId="167" fontId="37" fillId="0" borderId="0" xfId="0" applyFont="1" applyFill="1" applyBorder="1" applyAlignment="1" applyProtection="1">
      <alignment horizontal="center" vertical="center" shrinkToFit="1"/>
      <protection locked="0"/>
    </xf>
    <xf numFmtId="167" fontId="57" fillId="0" borderId="0" xfId="0" applyFont="1" applyFill="1" applyBorder="1" applyProtection="1">
      <protection locked="0"/>
    </xf>
    <xf numFmtId="10" fontId="49" fillId="0" borderId="0" xfId="12" applyNumberFormat="1" applyFont="1" applyFill="1" applyBorder="1" applyAlignment="1" applyProtection="1">
      <alignment horizontal="center"/>
      <protection locked="0"/>
    </xf>
    <xf numFmtId="0" fontId="37" fillId="0" borderId="0" xfId="0" applyNumberFormat="1" applyFont="1" applyFill="1" applyBorder="1" applyAlignment="1" applyProtection="1">
      <alignment horizontal="center" shrinkToFit="1"/>
      <protection locked="0"/>
    </xf>
    <xf numFmtId="10" fontId="37" fillId="0" borderId="0" xfId="12" applyNumberFormat="1" applyFont="1" applyFill="1" applyBorder="1" applyAlignment="1" applyProtection="1">
      <alignment horizontal="center"/>
      <protection locked="0"/>
    </xf>
    <xf numFmtId="168" fontId="37" fillId="0" borderId="0" xfId="27" applyNumberFormat="1" applyFont="1" applyFill="1" applyBorder="1" applyProtection="1">
      <protection locked="0"/>
    </xf>
    <xf numFmtId="167" fontId="49" fillId="0" borderId="0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49" fillId="0" borderId="0" xfId="27" applyNumberFormat="1" applyFont="1" applyFill="1" applyBorder="1" applyAlignment="1" applyProtection="1">
      <alignment horizontal="center" vertical="center" shrinkToFit="1"/>
      <protection locked="0"/>
    </xf>
    <xf numFmtId="44" fontId="49" fillId="0" borderId="0" xfId="1" applyFont="1" applyFill="1" applyBorder="1" applyAlignment="1" applyProtection="1">
      <alignment horizontal="center" vertical="center" shrinkToFit="1"/>
      <protection locked="0"/>
    </xf>
    <xf numFmtId="0" fontId="49" fillId="0" borderId="0" xfId="16" applyFont="1" applyFill="1" applyBorder="1" applyAlignment="1" applyProtection="1">
      <alignment vertical="center" shrinkToFit="1"/>
      <protection locked="0"/>
    </xf>
    <xf numFmtId="0" fontId="37" fillId="0" borderId="0" xfId="0" applyNumberFormat="1" applyFont="1" applyFill="1" applyBorder="1" applyAlignment="1" applyProtection="1">
      <alignment shrinkToFit="1"/>
      <protection locked="0"/>
    </xf>
    <xf numFmtId="167" fontId="58" fillId="0" borderId="0" xfId="0" applyFont="1" applyFill="1" applyBorder="1" applyAlignment="1" applyProtection="1">
      <alignment horizontal="center"/>
      <protection locked="0"/>
    </xf>
    <xf numFmtId="170" fontId="58" fillId="0" borderId="0" xfId="2" applyNumberFormat="1" applyFont="1" applyFill="1" applyBorder="1" applyAlignment="1" applyProtection="1">
      <alignment horizontal="center"/>
      <protection locked="0"/>
    </xf>
    <xf numFmtId="167" fontId="3" fillId="0" borderId="1" xfId="0" applyFont="1" applyFill="1" applyBorder="1" applyAlignment="1" applyProtection="1">
      <alignment horizontal="center"/>
      <protection locked="0"/>
    </xf>
    <xf numFmtId="167" fontId="3" fillId="0" borderId="2" xfId="0" applyFont="1" applyFill="1" applyBorder="1" applyAlignment="1" applyProtection="1">
      <alignment horizontal="center"/>
      <protection locked="0"/>
    </xf>
    <xf numFmtId="167" fontId="3" fillId="0" borderId="3" xfId="0" applyFont="1" applyFill="1" applyBorder="1" applyAlignment="1" applyProtection="1">
      <alignment horizontal="center"/>
      <protection locked="0"/>
    </xf>
    <xf numFmtId="167" fontId="1" fillId="0" borderId="1" xfId="0" applyFont="1" applyBorder="1" applyAlignment="1" applyProtection="1">
      <alignment horizontal="center"/>
      <protection locked="0"/>
    </xf>
    <xf numFmtId="167" fontId="1" fillId="0" borderId="3" xfId="0" applyFont="1" applyBorder="1" applyAlignment="1" applyProtection="1">
      <alignment horizontal="center"/>
      <protection locked="0"/>
    </xf>
    <xf numFmtId="167" fontId="1" fillId="0" borderId="5" xfId="0" applyFont="1" applyBorder="1" applyAlignment="1" applyProtection="1">
      <alignment horizontal="center"/>
      <protection locked="0"/>
    </xf>
    <xf numFmtId="167" fontId="1" fillId="0" borderId="36" xfId="0" applyFont="1" applyBorder="1" applyAlignment="1" applyProtection="1">
      <alignment horizontal="center"/>
      <protection locked="0"/>
    </xf>
    <xf numFmtId="167" fontId="2" fillId="0" borderId="4" xfId="0" applyFont="1" applyBorder="1" applyAlignment="1" applyProtection="1">
      <alignment horizontal="center" vertical="center" shrinkToFit="1"/>
      <protection locked="0"/>
    </xf>
    <xf numFmtId="167" fontId="2" fillId="0" borderId="39" xfId="0" applyFont="1" applyBorder="1" applyAlignment="1" applyProtection="1">
      <alignment horizontal="center" vertical="center" shrinkToFit="1"/>
      <protection locked="0"/>
    </xf>
    <xf numFmtId="167" fontId="2" fillId="0" borderId="30" xfId="0" applyFont="1" applyBorder="1" applyAlignment="1" applyProtection="1">
      <alignment horizontal="center" vertical="center" shrinkToFit="1"/>
      <protection locked="0"/>
    </xf>
    <xf numFmtId="167" fontId="2" fillId="0" borderId="1" xfId="0" applyFont="1" applyBorder="1" applyAlignment="1" applyProtection="1">
      <alignment horizontal="center" vertical="center" shrinkToFit="1"/>
      <protection locked="0"/>
    </xf>
    <xf numFmtId="167" fontId="2" fillId="0" borderId="2" xfId="0" applyFont="1" applyBorder="1" applyAlignment="1" applyProtection="1">
      <alignment horizontal="center" vertical="center" shrinkToFit="1"/>
      <protection locked="0"/>
    </xf>
    <xf numFmtId="167" fontId="2" fillId="0" borderId="3" xfId="0" applyFont="1" applyBorder="1" applyAlignment="1" applyProtection="1">
      <alignment horizontal="center" vertical="center" shrinkToFit="1"/>
      <protection locked="0"/>
    </xf>
    <xf numFmtId="167" fontId="1" fillId="6" borderId="74" xfId="0" applyFont="1" applyFill="1" applyBorder="1" applyAlignment="1" applyProtection="1">
      <alignment horizontal="center" vertical="center"/>
    </xf>
    <xf numFmtId="167" fontId="1" fillId="6" borderId="41" xfId="0" applyFont="1" applyFill="1" applyBorder="1" applyAlignment="1" applyProtection="1">
      <alignment horizontal="center" vertical="center"/>
    </xf>
    <xf numFmtId="167" fontId="1" fillId="6" borderId="75" xfId="0" applyFont="1" applyFill="1" applyBorder="1" applyAlignment="1" applyProtection="1">
      <alignment horizontal="center" vertical="center"/>
    </xf>
    <xf numFmtId="167" fontId="0" fillId="0" borderId="1" xfId="0" applyBorder="1" applyAlignment="1" applyProtection="1">
      <alignment horizontal="center"/>
      <protection locked="0"/>
    </xf>
    <xf numFmtId="167" fontId="0" fillId="0" borderId="2" xfId="0" applyBorder="1" applyAlignment="1" applyProtection="1">
      <alignment horizontal="center"/>
      <protection locked="0"/>
    </xf>
    <xf numFmtId="167" fontId="0" fillId="0" borderId="3" xfId="0" applyBorder="1" applyAlignment="1" applyProtection="1">
      <alignment horizontal="center"/>
      <protection locked="0"/>
    </xf>
    <xf numFmtId="167" fontId="0" fillId="0" borderId="0" xfId="0" applyAlignment="1" applyProtection="1">
      <alignment horizontal="center"/>
      <protection locked="0"/>
    </xf>
    <xf numFmtId="167" fontId="0" fillId="6" borderId="98" xfId="0" applyFill="1" applyBorder="1" applyAlignment="1" applyProtection="1">
      <alignment horizontal="center" vertical="center"/>
      <protection locked="0"/>
    </xf>
    <xf numFmtId="167" fontId="0" fillId="6" borderId="96" xfId="0" applyFill="1" applyBorder="1" applyAlignment="1" applyProtection="1">
      <alignment horizontal="center" vertical="center"/>
      <protection locked="0"/>
    </xf>
    <xf numFmtId="167" fontId="0" fillId="6" borderId="101" xfId="0" applyFill="1" applyBorder="1" applyAlignment="1" applyProtection="1">
      <alignment horizontal="center" vertical="center"/>
      <protection locked="0"/>
    </xf>
    <xf numFmtId="167" fontId="1" fillId="6" borderId="98" xfId="0" applyFont="1" applyFill="1" applyBorder="1" applyAlignment="1" applyProtection="1">
      <alignment horizontal="center" vertical="center"/>
    </xf>
    <xf numFmtId="167" fontId="1" fillId="6" borderId="96" xfId="0" applyFont="1" applyFill="1" applyBorder="1" applyAlignment="1" applyProtection="1">
      <alignment horizontal="center" vertical="center"/>
    </xf>
    <xf numFmtId="167" fontId="1" fillId="6" borderId="101" xfId="0" applyFont="1" applyFill="1" applyBorder="1" applyAlignment="1" applyProtection="1">
      <alignment horizontal="center" vertical="center"/>
    </xf>
    <xf numFmtId="167" fontId="1" fillId="9" borderId="74" xfId="0" applyFont="1" applyFill="1" applyBorder="1" applyAlignment="1" applyProtection="1">
      <alignment horizontal="center" vertical="center"/>
    </xf>
    <xf numFmtId="167" fontId="1" fillId="9" borderId="41" xfId="0" applyFont="1" applyFill="1" applyBorder="1" applyAlignment="1" applyProtection="1">
      <alignment horizontal="center" vertical="center"/>
    </xf>
    <xf numFmtId="167" fontId="1" fillId="9" borderId="75" xfId="0" applyFont="1" applyFill="1" applyBorder="1" applyAlignment="1" applyProtection="1">
      <alignment horizontal="center" vertical="center"/>
    </xf>
    <xf numFmtId="167" fontId="1" fillId="9" borderId="74" xfId="0" applyFont="1" applyFill="1" applyBorder="1" applyAlignment="1" applyProtection="1">
      <alignment horizontal="center" vertical="center"/>
      <protection locked="0"/>
    </xf>
    <xf numFmtId="167" fontId="1" fillId="9" borderId="41" xfId="0" applyFont="1" applyFill="1" applyBorder="1" applyAlignment="1" applyProtection="1">
      <alignment horizontal="center" vertical="center"/>
      <protection locked="0"/>
    </xf>
    <xf numFmtId="167" fontId="1" fillId="9" borderId="75" xfId="0" applyFont="1" applyFill="1" applyBorder="1" applyAlignment="1" applyProtection="1">
      <alignment horizontal="center" vertical="center"/>
      <protection locked="0"/>
    </xf>
    <xf numFmtId="167" fontId="1" fillId="9" borderId="98" xfId="0" applyFont="1" applyFill="1" applyBorder="1" applyAlignment="1" applyProtection="1">
      <alignment horizontal="center" vertical="center"/>
    </xf>
    <xf numFmtId="167" fontId="1" fillId="9" borderId="96" xfId="0" applyFont="1" applyFill="1" applyBorder="1" applyAlignment="1" applyProtection="1">
      <alignment horizontal="center" vertical="center"/>
    </xf>
    <xf numFmtId="167" fontId="1" fillId="9" borderId="101" xfId="0" applyFont="1" applyFill="1" applyBorder="1" applyAlignment="1" applyProtection="1">
      <alignment horizontal="center" vertical="center"/>
    </xf>
    <xf numFmtId="167" fontId="2" fillId="0" borderId="1" xfId="0" applyFont="1" applyFill="1" applyBorder="1" applyAlignment="1" applyProtection="1">
      <alignment horizontal="center"/>
      <protection locked="0"/>
    </xf>
    <xf numFmtId="167" fontId="2" fillId="0" borderId="3" xfId="0" applyFont="1" applyFill="1" applyBorder="1" applyAlignment="1" applyProtection="1">
      <alignment horizontal="center"/>
      <protection locked="0"/>
    </xf>
    <xf numFmtId="168" fontId="0" fillId="0" borderId="32" xfId="8" applyNumberFormat="1" applyFont="1" applyFill="1" applyBorder="1" applyAlignment="1" applyProtection="1">
      <alignment horizontal="center" vertical="center"/>
      <protection locked="0"/>
    </xf>
    <xf numFmtId="168" fontId="0" fillId="0" borderId="60" xfId="8" applyNumberFormat="1" applyFont="1" applyFill="1" applyBorder="1" applyAlignment="1" applyProtection="1">
      <alignment horizontal="center" vertical="center"/>
      <protection locked="0"/>
    </xf>
    <xf numFmtId="167" fontId="1" fillId="0" borderId="66" xfId="0" applyFont="1" applyBorder="1" applyAlignment="1" applyProtection="1">
      <alignment horizontal="left" vertical="center" indent="1" shrinkToFit="1"/>
      <protection locked="0"/>
    </xf>
    <xf numFmtId="167" fontId="1" fillId="0" borderId="67" xfId="0" applyFont="1" applyBorder="1" applyAlignment="1" applyProtection="1">
      <alignment horizontal="left" vertical="center" indent="1" shrinkToFit="1"/>
      <protection locked="0"/>
    </xf>
    <xf numFmtId="167" fontId="1" fillId="0" borderId="68" xfId="0" applyFont="1" applyBorder="1" applyAlignment="1" applyProtection="1">
      <alignment horizontal="left" vertical="center" indent="1" shrinkToFit="1"/>
      <protection locked="0"/>
    </xf>
    <xf numFmtId="167" fontId="1" fillId="0" borderId="62" xfId="0" applyFont="1" applyBorder="1" applyAlignment="1" applyProtection="1">
      <alignment horizontal="left" vertical="center" indent="1" shrinkToFit="1"/>
      <protection locked="0"/>
    </xf>
    <xf numFmtId="167" fontId="1" fillId="0" borderId="63" xfId="0" applyFont="1" applyBorder="1" applyAlignment="1" applyProtection="1">
      <alignment horizontal="left" vertical="center" indent="1" shrinkToFit="1"/>
      <protection locked="0"/>
    </xf>
    <xf numFmtId="167" fontId="1" fillId="0" borderId="64" xfId="0" applyFont="1" applyBorder="1" applyAlignment="1" applyProtection="1">
      <alignment horizontal="left" vertical="center" indent="1" shrinkToFit="1"/>
      <protection locked="0"/>
    </xf>
    <xf numFmtId="165" fontId="8" fillId="0" borderId="69" xfId="1" applyNumberFormat="1" applyFont="1" applyFill="1" applyBorder="1" applyAlignment="1" applyProtection="1">
      <alignment horizontal="center" vertical="center"/>
      <protection locked="0"/>
    </xf>
    <xf numFmtId="165" fontId="8" fillId="0" borderId="65" xfId="1" applyNumberFormat="1" applyFont="1" applyFill="1" applyBorder="1" applyAlignment="1" applyProtection="1">
      <alignment horizontal="center" vertical="center"/>
      <protection locked="0"/>
    </xf>
    <xf numFmtId="167" fontId="1" fillId="0" borderId="66" xfId="0" applyFont="1" applyBorder="1" applyAlignment="1" applyProtection="1">
      <alignment horizontal="left" vertical="center" indent="1"/>
      <protection locked="0"/>
    </xf>
    <xf numFmtId="167" fontId="1" fillId="0" borderId="67" xfId="0" applyFont="1" applyBorder="1" applyAlignment="1" applyProtection="1">
      <alignment horizontal="left" vertical="center" indent="1"/>
      <protection locked="0"/>
    </xf>
    <xf numFmtId="167" fontId="1" fillId="0" borderId="68" xfId="0" applyFont="1" applyBorder="1" applyAlignment="1" applyProtection="1">
      <alignment horizontal="left" vertical="center" indent="1"/>
      <protection locked="0"/>
    </xf>
    <xf numFmtId="167" fontId="1" fillId="0" borderId="47" xfId="0" applyFont="1" applyBorder="1" applyAlignment="1" applyProtection="1">
      <alignment horizontal="left" vertical="center" indent="1"/>
      <protection locked="0"/>
    </xf>
    <xf numFmtId="167" fontId="1" fillId="0" borderId="42" xfId="0" applyFont="1" applyBorder="1" applyAlignment="1" applyProtection="1">
      <alignment horizontal="left" vertical="center" indent="1"/>
      <protection locked="0"/>
    </xf>
    <xf numFmtId="167" fontId="1" fillId="0" borderId="48" xfId="0" applyFont="1" applyBorder="1" applyAlignment="1" applyProtection="1">
      <alignment horizontal="left" vertical="center" indent="1"/>
      <protection locked="0"/>
    </xf>
    <xf numFmtId="167" fontId="8" fillId="0" borderId="69" xfId="0" applyFont="1" applyBorder="1" applyAlignment="1" applyProtection="1">
      <alignment horizontal="center" vertical="center" shrinkToFit="1"/>
      <protection locked="0"/>
    </xf>
    <xf numFmtId="167" fontId="8" fillId="0" borderId="49" xfId="0" applyFont="1" applyBorder="1" applyAlignment="1" applyProtection="1">
      <alignment horizontal="center" vertical="center" shrinkToFit="1"/>
      <protection locked="0"/>
    </xf>
    <xf numFmtId="167" fontId="0" fillId="0" borderId="7" xfId="0" applyFill="1" applyBorder="1" applyAlignment="1" applyProtection="1">
      <alignment horizontal="center"/>
      <protection locked="0"/>
    </xf>
    <xf numFmtId="167" fontId="0" fillId="0" borderId="14" xfId="0" applyFill="1" applyBorder="1" applyAlignment="1" applyProtection="1">
      <alignment horizontal="center"/>
      <protection locked="0"/>
    </xf>
    <xf numFmtId="167" fontId="0" fillId="0" borderId="9" xfId="0" applyFill="1" applyBorder="1" applyAlignment="1" applyProtection="1">
      <alignment horizontal="center"/>
      <protection locked="0"/>
    </xf>
    <xf numFmtId="167" fontId="1" fillId="0" borderId="66" xfId="0" applyFont="1" applyFill="1" applyBorder="1" applyAlignment="1" applyProtection="1">
      <alignment horizontal="left" vertical="center" indent="1"/>
      <protection locked="0"/>
    </xf>
    <xf numFmtId="167" fontId="1" fillId="0" borderId="67" xfId="0" applyFont="1" applyFill="1" applyBorder="1" applyAlignment="1" applyProtection="1">
      <alignment horizontal="left" vertical="center" indent="1"/>
      <protection locked="0"/>
    </xf>
    <xf numFmtId="167" fontId="1" fillId="0" borderId="68" xfId="0" applyFont="1" applyFill="1" applyBorder="1" applyAlignment="1" applyProtection="1">
      <alignment horizontal="left" vertical="center" indent="1"/>
      <protection locked="0"/>
    </xf>
    <xf numFmtId="167" fontId="1" fillId="0" borderId="62" xfId="0" applyFont="1" applyFill="1" applyBorder="1" applyAlignment="1" applyProtection="1">
      <alignment horizontal="left" vertical="center" indent="1"/>
      <protection locked="0"/>
    </xf>
    <xf numFmtId="167" fontId="1" fillId="0" borderId="63" xfId="0" applyFont="1" applyFill="1" applyBorder="1" applyAlignment="1" applyProtection="1">
      <alignment horizontal="left" vertical="center" indent="1"/>
      <protection locked="0"/>
    </xf>
    <xf numFmtId="167" fontId="1" fillId="0" borderId="64" xfId="0" applyFont="1" applyFill="1" applyBorder="1" applyAlignment="1" applyProtection="1">
      <alignment horizontal="left" vertical="center" indent="1"/>
      <protection locked="0"/>
    </xf>
    <xf numFmtId="10" fontId="8" fillId="0" borderId="69" xfId="2" applyNumberFormat="1" applyFont="1" applyFill="1" applyBorder="1" applyAlignment="1" applyProtection="1">
      <alignment horizontal="center" vertical="center"/>
      <protection locked="0"/>
    </xf>
    <xf numFmtId="10" fontId="8" fillId="0" borderId="65" xfId="2" applyNumberFormat="1" applyFont="1" applyFill="1" applyBorder="1" applyAlignment="1" applyProtection="1">
      <alignment horizontal="center" vertical="center"/>
      <protection locked="0"/>
    </xf>
    <xf numFmtId="167" fontId="1" fillId="8" borderId="74" xfId="0" applyFont="1" applyFill="1" applyBorder="1" applyAlignment="1" applyProtection="1">
      <alignment horizontal="center" vertical="center"/>
    </xf>
    <xf numFmtId="167" fontId="1" fillId="8" borderId="41" xfId="0" applyFont="1" applyFill="1" applyBorder="1" applyAlignment="1" applyProtection="1">
      <alignment horizontal="center" vertical="center"/>
    </xf>
    <xf numFmtId="167" fontId="1" fillId="8" borderId="75" xfId="0" applyFont="1" applyFill="1" applyBorder="1" applyAlignment="1" applyProtection="1">
      <alignment horizontal="center" vertical="center"/>
    </xf>
    <xf numFmtId="167" fontId="0" fillId="0" borderId="1" xfId="0" applyBorder="1" applyAlignment="1" applyProtection="1">
      <alignment horizontal="center" vertical="center" shrinkToFit="1"/>
      <protection locked="0"/>
    </xf>
    <xf numFmtId="167" fontId="0" fillId="0" borderId="2" xfId="0" applyBorder="1" applyAlignment="1" applyProtection="1">
      <alignment horizontal="center" vertical="center" shrinkToFit="1"/>
      <protection locked="0"/>
    </xf>
    <xf numFmtId="167" fontId="0" fillId="0" borderId="3" xfId="0" applyBorder="1" applyAlignment="1" applyProtection="1">
      <alignment horizontal="center" vertical="center" shrinkToFit="1"/>
      <protection locked="0"/>
    </xf>
    <xf numFmtId="10" fontId="0" fillId="7" borderId="13" xfId="2" applyNumberFormat="1" applyFont="1" applyFill="1" applyBorder="1" applyAlignment="1" applyProtection="1">
      <alignment horizontal="center" vertical="center"/>
      <protection locked="0"/>
    </xf>
    <xf numFmtId="10" fontId="0" fillId="7" borderId="27" xfId="2" applyNumberFormat="1" applyFont="1" applyFill="1" applyBorder="1" applyAlignment="1" applyProtection="1">
      <alignment horizontal="center" vertical="center"/>
      <protection locked="0"/>
    </xf>
    <xf numFmtId="167" fontId="0" fillId="0" borderId="98" xfId="0" applyBorder="1" applyAlignment="1" applyProtection="1">
      <alignment horizontal="center" vertical="center" shrinkToFit="1"/>
      <protection locked="0"/>
    </xf>
    <xf numFmtId="167" fontId="0" fillId="0" borderId="106" xfId="0" applyBorder="1" applyAlignment="1" applyProtection="1">
      <alignment horizontal="center" vertical="center" shrinkToFit="1"/>
      <protection locked="0"/>
    </xf>
    <xf numFmtId="8" fontId="0" fillId="0" borderId="13" xfId="8" applyNumberFormat="1" applyFont="1" applyBorder="1" applyAlignment="1" applyProtection="1">
      <alignment horizontal="center" vertical="center" shrinkToFit="1"/>
      <protection locked="0"/>
    </xf>
    <xf numFmtId="8" fontId="0" fillId="0" borderId="27" xfId="8" applyNumberFormat="1" applyFont="1" applyBorder="1" applyAlignment="1" applyProtection="1">
      <alignment horizontal="center" vertical="center" shrinkToFit="1"/>
      <protection locked="0"/>
    </xf>
    <xf numFmtId="8" fontId="0" fillId="0" borderId="36" xfId="8" applyNumberFormat="1" applyFont="1" applyBorder="1" applyAlignment="1" applyProtection="1">
      <alignment horizontal="center" vertical="center" shrinkToFit="1"/>
      <protection locked="0"/>
    </xf>
    <xf numFmtId="8" fontId="0" fillId="0" borderId="58" xfId="8" applyNumberFormat="1" applyFont="1" applyBorder="1" applyAlignment="1" applyProtection="1">
      <alignment horizontal="center" vertical="center" shrinkToFit="1"/>
      <protection locked="0"/>
    </xf>
    <xf numFmtId="167" fontId="1" fillId="0" borderId="23" xfId="0" applyFont="1" applyFill="1" applyBorder="1" applyAlignment="1" applyProtection="1">
      <alignment horizontal="left" vertical="center" indent="1"/>
      <protection locked="0"/>
    </xf>
    <xf numFmtId="167" fontId="1" fillId="0" borderId="21" xfId="0" applyFont="1" applyFill="1" applyBorder="1" applyAlignment="1" applyProtection="1">
      <alignment horizontal="left" vertical="center" indent="1"/>
      <protection locked="0"/>
    </xf>
    <xf numFmtId="167" fontId="1" fillId="0" borderId="18" xfId="0" applyFont="1" applyFill="1" applyBorder="1" applyAlignment="1" applyProtection="1">
      <alignment horizontal="left" vertical="center" indent="1"/>
      <protection locked="0"/>
    </xf>
    <xf numFmtId="167" fontId="1" fillId="0" borderId="27" xfId="0" applyFont="1" applyFill="1" applyBorder="1" applyAlignment="1" applyProtection="1">
      <alignment horizontal="left" vertical="center" indent="1"/>
      <protection locked="0"/>
    </xf>
    <xf numFmtId="165" fontId="8" fillId="0" borderId="24" xfId="1" applyNumberFormat="1" applyFont="1" applyFill="1" applyBorder="1" applyAlignment="1" applyProtection="1">
      <alignment horizontal="center" vertical="center"/>
      <protection locked="0"/>
    </xf>
    <xf numFmtId="165" fontId="8" fillId="0" borderId="19" xfId="1" applyNumberFormat="1" applyFont="1" applyFill="1" applyBorder="1" applyAlignment="1" applyProtection="1">
      <alignment horizontal="center" vertical="center"/>
      <protection locked="0"/>
    </xf>
    <xf numFmtId="167" fontId="0" fillId="0" borderId="5" xfId="0" applyFill="1" applyBorder="1" applyAlignment="1" applyProtection="1">
      <alignment horizontal="center" vertical="center" shrinkToFit="1"/>
      <protection locked="0"/>
    </xf>
    <xf numFmtId="167" fontId="0" fillId="0" borderId="57" xfId="0" applyFill="1" applyBorder="1" applyAlignment="1" applyProtection="1">
      <alignment horizontal="center" vertical="center" shrinkToFit="1"/>
      <protection locked="0"/>
    </xf>
    <xf numFmtId="0" fontId="0" fillId="0" borderId="13" xfId="0" applyNumberFormat="1" applyFill="1" applyBorder="1" applyAlignment="1" applyProtection="1">
      <alignment horizontal="center" vertical="center"/>
      <protection locked="0"/>
    </xf>
    <xf numFmtId="0" fontId="0" fillId="0" borderId="27" xfId="0" applyNumberFormat="1" applyFill="1" applyBorder="1" applyAlignment="1" applyProtection="1">
      <alignment horizontal="center" vertical="center"/>
      <protection locked="0"/>
    </xf>
    <xf numFmtId="0" fontId="0" fillId="0" borderId="96" xfId="0" applyNumberFormat="1" applyFill="1" applyBorder="1" applyAlignment="1" applyProtection="1">
      <alignment horizontal="center" vertical="center"/>
      <protection locked="0"/>
    </xf>
    <xf numFmtId="0" fontId="0" fillId="0" borderId="97" xfId="0" applyNumberFormat="1" applyFill="1" applyBorder="1" applyAlignment="1" applyProtection="1">
      <alignment horizontal="center" vertical="center"/>
      <protection locked="0"/>
    </xf>
    <xf numFmtId="10" fontId="0" fillId="0" borderId="13" xfId="2" applyNumberFormat="1" applyFont="1" applyFill="1" applyBorder="1" applyAlignment="1" applyProtection="1">
      <alignment horizontal="center" vertical="center"/>
      <protection locked="0"/>
    </xf>
    <xf numFmtId="10" fontId="0" fillId="0" borderId="27" xfId="2" applyNumberFormat="1" applyFont="1" applyFill="1" applyBorder="1" applyAlignment="1" applyProtection="1">
      <alignment horizontal="center" vertical="center"/>
      <protection locked="0"/>
    </xf>
    <xf numFmtId="167" fontId="1" fillId="8" borderId="74" xfId="0" applyFont="1" applyFill="1" applyBorder="1" applyAlignment="1" applyProtection="1">
      <alignment horizontal="center" vertical="center"/>
      <protection locked="0"/>
    </xf>
    <xf numFmtId="167" fontId="1" fillId="8" borderId="41" xfId="0" applyFont="1" applyFill="1" applyBorder="1" applyAlignment="1" applyProtection="1">
      <alignment horizontal="center" vertical="center"/>
      <protection locked="0"/>
    </xf>
    <xf numFmtId="167" fontId="1" fillId="8" borderId="75" xfId="0" applyFont="1" applyFill="1" applyBorder="1" applyAlignment="1" applyProtection="1">
      <alignment horizontal="center" vertical="center"/>
      <protection locked="0"/>
    </xf>
    <xf numFmtId="167" fontId="2" fillId="0" borderId="42" xfId="0" applyFont="1" applyBorder="1" applyAlignment="1" applyProtection="1">
      <alignment horizontal="center" vertical="center"/>
      <protection locked="0"/>
    </xf>
    <xf numFmtId="167" fontId="1" fillId="0" borderId="43" xfId="0" applyFont="1" applyFill="1" applyBorder="1" applyAlignment="1" applyProtection="1">
      <alignment horizontal="left" vertical="center" indent="1"/>
      <protection locked="0"/>
    </xf>
    <xf numFmtId="167" fontId="1" fillId="0" borderId="44" xfId="0" applyFont="1" applyFill="1" applyBorder="1" applyAlignment="1" applyProtection="1">
      <alignment horizontal="left" vertical="center" indent="1"/>
      <protection locked="0"/>
    </xf>
    <xf numFmtId="167" fontId="1" fillId="0" borderId="45" xfId="0" applyFont="1" applyFill="1" applyBorder="1" applyAlignment="1" applyProtection="1">
      <alignment horizontal="left" vertical="center" indent="1"/>
      <protection locked="0"/>
    </xf>
    <xf numFmtId="165" fontId="8" fillId="0" borderId="46" xfId="1" applyNumberFormat="1" applyFont="1" applyFill="1" applyBorder="1" applyAlignment="1" applyProtection="1">
      <alignment horizontal="center" vertical="center"/>
      <protection locked="0"/>
    </xf>
    <xf numFmtId="167" fontId="2" fillId="0" borderId="1" xfId="0" applyFont="1" applyBorder="1" applyAlignment="1" applyProtection="1">
      <alignment horizontal="center" vertical="center"/>
      <protection locked="0"/>
    </xf>
    <xf numFmtId="167" fontId="2" fillId="0" borderId="2" xfId="0" applyFont="1" applyBorder="1" applyAlignment="1" applyProtection="1">
      <alignment horizontal="center" vertical="center"/>
      <protection locked="0"/>
    </xf>
    <xf numFmtId="167" fontId="2" fillId="0" borderId="3" xfId="0" applyFont="1" applyBorder="1" applyAlignment="1" applyProtection="1">
      <alignment horizontal="center" vertical="center"/>
      <protection locked="0"/>
    </xf>
    <xf numFmtId="167" fontId="1" fillId="0" borderId="10" xfId="0" applyFont="1" applyFill="1" applyBorder="1" applyAlignment="1" applyProtection="1">
      <alignment horizontal="left" vertical="center" indent="1"/>
      <protection locked="0"/>
    </xf>
    <xf numFmtId="167" fontId="1" fillId="0" borderId="13" xfId="0" applyFont="1" applyFill="1" applyBorder="1" applyAlignment="1" applyProtection="1">
      <alignment horizontal="left" vertical="center" indent="1"/>
      <protection locked="0"/>
    </xf>
    <xf numFmtId="165" fontId="8" fillId="0" borderId="11" xfId="1" applyNumberFormat="1" applyFont="1" applyFill="1" applyBorder="1" applyAlignment="1" applyProtection="1">
      <alignment horizontal="center" vertical="center"/>
      <protection locked="0"/>
    </xf>
    <xf numFmtId="167" fontId="1" fillId="0" borderId="5" xfId="0" applyFont="1" applyBorder="1" applyAlignment="1" applyProtection="1">
      <alignment horizontal="center" vertical="center" shrinkToFit="1"/>
      <protection locked="0"/>
    </xf>
    <xf numFmtId="167" fontId="1" fillId="0" borderId="96" xfId="0" applyFont="1" applyBorder="1" applyAlignment="1" applyProtection="1">
      <alignment horizontal="center" vertical="center" shrinkToFit="1"/>
      <protection locked="0"/>
    </xf>
    <xf numFmtId="167" fontId="1" fillId="0" borderId="36" xfId="0" applyFont="1" applyBorder="1" applyAlignment="1" applyProtection="1">
      <alignment horizontal="center" vertical="center" shrinkToFit="1"/>
      <protection locked="0"/>
    </xf>
    <xf numFmtId="167" fontId="1" fillId="0" borderId="57" xfId="0" applyFont="1" applyBorder="1" applyAlignment="1" applyProtection="1">
      <alignment horizontal="center" vertical="center" shrinkToFit="1"/>
      <protection locked="0"/>
    </xf>
    <xf numFmtId="167" fontId="1" fillId="0" borderId="97" xfId="0" applyFont="1" applyBorder="1" applyAlignment="1" applyProtection="1">
      <alignment horizontal="center" vertical="center" shrinkToFit="1"/>
      <protection locked="0"/>
    </xf>
    <xf numFmtId="167" fontId="1" fillId="0" borderId="58" xfId="0" applyFont="1" applyBorder="1" applyAlignment="1" applyProtection="1">
      <alignment horizontal="center" vertical="center" shrinkToFit="1"/>
      <protection locked="0"/>
    </xf>
    <xf numFmtId="167" fontId="2" fillId="4" borderId="5" xfId="0" applyFont="1" applyFill="1" applyBorder="1" applyAlignment="1" applyProtection="1">
      <alignment horizontal="center" vertical="center"/>
      <protection locked="0"/>
    </xf>
    <xf numFmtId="167" fontId="2" fillId="4" borderId="36" xfId="0" applyFont="1" applyFill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horizontal="center" vertical="center" shrinkToFit="1"/>
      <protection locked="0"/>
    </xf>
    <xf numFmtId="0" fontId="12" fillId="0" borderId="96" xfId="3" applyFont="1" applyBorder="1" applyAlignment="1" applyProtection="1">
      <alignment horizontal="center" vertical="center" shrinkToFit="1"/>
      <protection locked="0"/>
    </xf>
    <xf numFmtId="0" fontId="12" fillId="0" borderId="36" xfId="3" applyFont="1" applyBorder="1" applyAlignment="1" applyProtection="1">
      <alignment horizontal="center" vertical="center" shrinkToFit="1"/>
      <protection locked="0"/>
    </xf>
    <xf numFmtId="167" fontId="1" fillId="8" borderId="98" xfId="0" applyFont="1" applyFill="1" applyBorder="1" applyAlignment="1" applyProtection="1">
      <alignment horizontal="center" vertical="center"/>
    </xf>
    <xf numFmtId="167" fontId="1" fillId="8" borderId="96" xfId="0" applyFont="1" applyFill="1" applyBorder="1" applyAlignment="1" applyProtection="1">
      <alignment horizontal="center" vertical="center"/>
    </xf>
    <xf numFmtId="167" fontId="1" fillId="8" borderId="101" xfId="0" applyFont="1" applyFill="1" applyBorder="1" applyAlignment="1" applyProtection="1">
      <alignment horizontal="center" vertical="center"/>
    </xf>
    <xf numFmtId="167" fontId="41" fillId="4" borderId="57" xfId="0" applyFont="1" applyFill="1" applyBorder="1" applyAlignment="1" applyProtection="1">
      <alignment horizontal="center" vertical="top" shrinkToFit="1"/>
      <protection locked="0"/>
    </xf>
    <xf numFmtId="167" fontId="41" fillId="4" borderId="58" xfId="0" applyFont="1" applyFill="1" applyBorder="1" applyAlignment="1" applyProtection="1">
      <alignment horizontal="center" vertical="top" shrinkToFit="1"/>
      <protection locked="0"/>
    </xf>
    <xf numFmtId="167" fontId="0" fillId="0" borderId="32" xfId="0" applyFill="1" applyBorder="1" applyAlignment="1" applyProtection="1">
      <alignment horizontal="center" vertical="center" shrinkToFit="1"/>
      <protection locked="0"/>
    </xf>
    <xf numFmtId="167" fontId="0" fillId="0" borderId="60" xfId="0" applyFill="1" applyBorder="1" applyAlignment="1" applyProtection="1">
      <alignment horizontal="center" vertical="center" shrinkToFit="1"/>
      <protection locked="0"/>
    </xf>
    <xf numFmtId="0" fontId="0" fillId="0" borderId="33" xfId="0" applyNumberFormat="1" applyFill="1" applyBorder="1" applyAlignment="1" applyProtection="1">
      <alignment horizontal="center" vertical="center"/>
      <protection locked="0"/>
    </xf>
    <xf numFmtId="0" fontId="0" fillId="0" borderId="102" xfId="0" applyNumberFormat="1" applyFill="1" applyBorder="1" applyAlignment="1" applyProtection="1">
      <alignment horizontal="center" vertical="center"/>
      <protection locked="0"/>
    </xf>
    <xf numFmtId="10" fontId="0" fillId="0" borderId="33" xfId="2" applyNumberFormat="1" applyFont="1" applyFill="1" applyBorder="1" applyAlignment="1" applyProtection="1">
      <alignment horizontal="center" vertical="center"/>
      <protection locked="0"/>
    </xf>
    <xf numFmtId="10" fontId="0" fillId="0" borderId="102" xfId="2" applyNumberFormat="1" applyFont="1" applyFill="1" applyBorder="1" applyAlignment="1" applyProtection="1">
      <alignment horizontal="center" vertical="center"/>
      <protection locked="0"/>
    </xf>
    <xf numFmtId="10" fontId="0" fillId="7" borderId="33" xfId="2" applyNumberFormat="1" applyFont="1" applyFill="1" applyBorder="1" applyAlignment="1" applyProtection="1">
      <alignment horizontal="center" vertical="center"/>
      <protection locked="0"/>
    </xf>
    <xf numFmtId="10" fontId="0" fillId="7" borderId="102" xfId="2" applyNumberFormat="1" applyFont="1" applyFill="1" applyBorder="1" applyAlignment="1" applyProtection="1">
      <alignment horizontal="center" vertical="center"/>
      <protection locked="0"/>
    </xf>
    <xf numFmtId="44" fontId="2" fillId="0" borderId="33" xfId="1" applyFont="1" applyBorder="1" applyAlignment="1" applyProtection="1">
      <alignment horizontal="center" vertical="center" shrinkToFit="1"/>
      <protection locked="0"/>
    </xf>
    <xf numFmtId="44" fontId="2" fillId="0" borderId="102" xfId="1" applyFont="1" applyBorder="1" applyAlignment="1" applyProtection="1">
      <alignment horizontal="center" vertical="center" shrinkToFit="1"/>
      <protection locked="0"/>
    </xf>
    <xf numFmtId="8" fontId="0" fillId="0" borderId="33" xfId="8" applyNumberFormat="1" applyFont="1" applyBorder="1" applyAlignment="1" applyProtection="1">
      <alignment horizontal="center" vertical="center" shrinkToFit="1"/>
      <protection locked="0"/>
    </xf>
    <xf numFmtId="8" fontId="0" fillId="0" borderId="102" xfId="8" applyNumberFormat="1" applyFont="1" applyBorder="1" applyAlignment="1" applyProtection="1">
      <alignment horizontal="center" vertical="center" shrinkToFit="1"/>
      <protection locked="0"/>
    </xf>
    <xf numFmtId="8" fontId="0" fillId="0" borderId="6" xfId="8" applyNumberFormat="1" applyFont="1" applyBorder="1" applyAlignment="1" applyProtection="1">
      <alignment horizontal="center" vertical="center" shrinkToFit="1"/>
      <protection locked="0"/>
    </xf>
    <xf numFmtId="8" fontId="0" fillId="0" borderId="61" xfId="8" applyNumberFormat="1" applyFont="1" applyBorder="1" applyAlignment="1" applyProtection="1">
      <alignment horizontal="center" vertical="center" shrinkToFit="1"/>
      <protection locked="0"/>
    </xf>
    <xf numFmtId="167" fontId="2" fillId="0" borderId="1" xfId="0" applyFont="1" applyBorder="1" applyAlignment="1" applyProtection="1">
      <alignment horizontal="center" shrinkToFit="1"/>
      <protection locked="0"/>
    </xf>
    <xf numFmtId="167" fontId="2" fillId="0" borderId="2" xfId="0" applyFont="1" applyBorder="1" applyAlignment="1" applyProtection="1">
      <alignment horizontal="center" shrinkToFit="1"/>
      <protection locked="0"/>
    </xf>
    <xf numFmtId="167" fontId="0" fillId="0" borderId="1" xfId="0" applyBorder="1" applyAlignment="1" applyProtection="1">
      <alignment horizontal="center" shrinkToFit="1"/>
      <protection locked="0"/>
    </xf>
    <xf numFmtId="167" fontId="0" fillId="0" borderId="3" xfId="0" applyBorder="1" applyAlignment="1" applyProtection="1">
      <alignment horizontal="center" shrinkToFit="1"/>
      <protection locked="0"/>
    </xf>
    <xf numFmtId="167" fontId="2" fillId="4" borderId="5" xfId="0" applyFont="1" applyFill="1" applyBorder="1" applyAlignment="1" applyProtection="1">
      <alignment horizontal="center"/>
      <protection locked="0"/>
    </xf>
    <xf numFmtId="167" fontId="2" fillId="4" borderId="36" xfId="0" applyFont="1" applyFill="1" applyBorder="1" applyAlignment="1" applyProtection="1">
      <alignment horizontal="center"/>
      <protection locked="0"/>
    </xf>
    <xf numFmtId="167" fontId="3" fillId="4" borderId="57" xfId="0" applyFont="1" applyFill="1" applyBorder="1" applyAlignment="1" applyProtection="1">
      <alignment horizontal="center" vertical="top" shrinkToFit="1"/>
      <protection locked="0"/>
    </xf>
    <xf numFmtId="167" fontId="3" fillId="4" borderId="58" xfId="0" applyFont="1" applyFill="1" applyBorder="1" applyAlignment="1" applyProtection="1">
      <alignment horizontal="center" vertical="top" shrinkToFit="1"/>
      <protection locked="0"/>
    </xf>
    <xf numFmtId="167" fontId="1" fillId="0" borderId="53" xfId="0" applyFont="1" applyBorder="1" applyAlignment="1" applyProtection="1">
      <alignment horizontal="center" vertical="center" shrinkToFit="1"/>
      <protection locked="0"/>
    </xf>
    <xf numFmtId="167" fontId="1" fillId="0" borderId="37" xfId="0" applyFont="1" applyBorder="1" applyAlignment="1" applyProtection="1">
      <alignment horizontal="center" vertical="center" shrinkToFit="1"/>
      <protection locked="0"/>
    </xf>
    <xf numFmtId="167" fontId="0" fillId="0" borderId="2" xfId="0" applyBorder="1" applyAlignment="1" applyProtection="1">
      <alignment horizontal="center" shrinkToFit="1"/>
      <protection locked="0"/>
    </xf>
    <xf numFmtId="167" fontId="1" fillId="8" borderId="98" xfId="0" applyFont="1" applyFill="1" applyBorder="1" applyAlignment="1" applyProtection="1">
      <alignment horizontal="center" vertical="center"/>
      <protection locked="0"/>
    </xf>
    <xf numFmtId="167" fontId="1" fillId="8" borderId="96" xfId="0" applyFont="1" applyFill="1" applyBorder="1" applyAlignment="1" applyProtection="1">
      <alignment horizontal="center" vertical="center"/>
      <protection locked="0"/>
    </xf>
    <xf numFmtId="167" fontId="1" fillId="8" borderId="101" xfId="0" applyFont="1" applyFill="1" applyBorder="1" applyAlignment="1" applyProtection="1">
      <alignment horizontal="center" vertical="center"/>
      <protection locked="0"/>
    </xf>
    <xf numFmtId="167" fontId="0" fillId="8" borderId="41" xfId="0" applyFill="1" applyBorder="1" applyAlignment="1" applyProtection="1">
      <alignment horizontal="center" vertical="center"/>
      <protection locked="0"/>
    </xf>
    <xf numFmtId="167" fontId="0" fillId="8" borderId="75" xfId="0" applyFill="1" applyBorder="1" applyAlignment="1" applyProtection="1">
      <alignment horizontal="center" vertical="center"/>
      <protection locked="0"/>
    </xf>
    <xf numFmtId="167" fontId="1" fillId="8" borderId="73" xfId="0" applyFont="1" applyFill="1" applyBorder="1" applyAlignment="1" applyProtection="1">
      <alignment horizontal="center" vertical="center"/>
      <protection locked="0"/>
    </xf>
    <xf numFmtId="167" fontId="1" fillId="8" borderId="0" xfId="0" applyFont="1" applyFill="1" applyBorder="1" applyAlignment="1" applyProtection="1">
      <alignment horizontal="center" vertical="center"/>
      <protection locked="0"/>
    </xf>
    <xf numFmtId="167" fontId="1" fillId="8" borderId="76" xfId="0" applyFont="1" applyFill="1" applyBorder="1" applyAlignment="1" applyProtection="1">
      <alignment horizontal="center" vertical="center"/>
      <protection locked="0"/>
    </xf>
    <xf numFmtId="167" fontId="21" fillId="4" borderId="0" xfId="0" applyFont="1" applyFill="1" applyBorder="1" applyAlignment="1" applyProtection="1">
      <alignment horizontal="center" shrinkToFit="1"/>
    </xf>
    <xf numFmtId="44" fontId="22" fillId="4" borderId="99" xfId="1" applyFont="1" applyFill="1" applyBorder="1" applyAlignment="1" applyProtection="1">
      <alignment horizontal="center" vertical="center" shrinkToFit="1"/>
      <protection locked="0"/>
    </xf>
    <xf numFmtId="44" fontId="22" fillId="4" borderId="80" xfId="1" applyFont="1" applyFill="1" applyBorder="1" applyAlignment="1" applyProtection="1">
      <alignment horizontal="center" vertical="center" shrinkToFit="1"/>
      <protection locked="0"/>
    </xf>
    <xf numFmtId="44" fontId="22" fillId="4" borderId="81" xfId="1" applyFont="1" applyFill="1" applyBorder="1" applyAlignment="1" applyProtection="1">
      <alignment horizontal="center" vertical="center" shrinkToFit="1"/>
      <protection locked="0"/>
    </xf>
    <xf numFmtId="44" fontId="22" fillId="4" borderId="53" xfId="1" applyFont="1" applyFill="1" applyBorder="1" applyAlignment="1" applyProtection="1">
      <alignment horizontal="center" vertical="center" shrinkToFit="1"/>
      <protection locked="0"/>
    </xf>
    <xf numFmtId="44" fontId="22" fillId="4" borderId="0" xfId="1" applyFont="1" applyFill="1" applyBorder="1" applyAlignment="1" applyProtection="1">
      <alignment horizontal="center" vertical="center" shrinkToFit="1"/>
      <protection locked="0"/>
    </xf>
    <xf numFmtId="44" fontId="22" fillId="4" borderId="83" xfId="1" applyFont="1" applyFill="1" applyBorder="1" applyAlignment="1" applyProtection="1">
      <alignment horizontal="center" vertical="center" shrinkToFit="1"/>
      <protection locked="0"/>
    </xf>
    <xf numFmtId="44" fontId="22" fillId="4" borderId="100" xfId="1" applyFont="1" applyFill="1" applyBorder="1" applyAlignment="1" applyProtection="1">
      <alignment horizontal="center" vertical="center" shrinkToFit="1"/>
      <protection locked="0"/>
    </xf>
    <xf numFmtId="44" fontId="22" fillId="4" borderId="85" xfId="1" applyFont="1" applyFill="1" applyBorder="1" applyAlignment="1" applyProtection="1">
      <alignment horizontal="center" vertical="center" shrinkToFit="1"/>
      <protection locked="0"/>
    </xf>
    <xf numFmtId="44" fontId="22" fillId="4" borderId="86" xfId="1" applyFont="1" applyFill="1" applyBorder="1" applyAlignment="1" applyProtection="1">
      <alignment horizontal="center" vertical="center" shrinkToFit="1"/>
      <protection locked="0"/>
    </xf>
    <xf numFmtId="167" fontId="0" fillId="8" borderId="96" xfId="0" applyFill="1" applyBorder="1" applyAlignment="1" applyProtection="1">
      <alignment horizontal="center" vertical="center"/>
      <protection locked="0"/>
    </xf>
    <xf numFmtId="167" fontId="0" fillId="8" borderId="101" xfId="0" applyFill="1" applyBorder="1" applyAlignment="1" applyProtection="1">
      <alignment horizontal="center" vertical="center"/>
      <protection locked="0"/>
    </xf>
    <xf numFmtId="167" fontId="35" fillId="4" borderId="21" xfId="0" applyFont="1" applyFill="1" applyBorder="1" applyAlignment="1" applyProtection="1">
      <alignment horizontal="left" vertical="center" indent="1"/>
    </xf>
    <xf numFmtId="167" fontId="35" fillId="4" borderId="21" xfId="0" applyFont="1" applyFill="1" applyBorder="1" applyAlignment="1" applyProtection="1">
      <alignment horizontal="center" vertical="center" shrinkToFit="1"/>
    </xf>
    <xf numFmtId="0" fontId="1" fillId="4" borderId="0" xfId="0" applyNumberFormat="1" applyFont="1" applyFill="1" applyBorder="1" applyAlignment="1" applyProtection="1">
      <alignment horizontal="center"/>
    </xf>
    <xf numFmtId="0" fontId="0" fillId="4" borderId="0" xfId="0" applyNumberFormat="1" applyFill="1" applyBorder="1" applyAlignment="1" applyProtection="1">
      <alignment horizontal="center"/>
    </xf>
    <xf numFmtId="167" fontId="2" fillId="4" borderId="0" xfId="0" applyFont="1" applyFill="1" applyBorder="1" applyAlignment="1" applyProtection="1">
      <alignment horizontal="center" vertical="center" shrinkToFit="1"/>
    </xf>
    <xf numFmtId="167" fontId="45" fillId="4" borderId="41" xfId="0" applyFont="1" applyFill="1" applyBorder="1" applyAlignment="1" applyProtection="1">
      <alignment horizontal="right" vertical="center"/>
    </xf>
    <xf numFmtId="167" fontId="45" fillId="4" borderId="0" xfId="0" applyFont="1" applyFill="1" applyBorder="1" applyAlignment="1" applyProtection="1">
      <alignment horizontal="right" vertical="center"/>
    </xf>
    <xf numFmtId="167" fontId="13" fillId="4" borderId="41" xfId="15" applyFill="1" applyBorder="1" applyAlignment="1" applyProtection="1">
      <alignment horizontal="left" vertical="center"/>
    </xf>
    <xf numFmtId="167" fontId="13" fillId="4" borderId="0" xfId="15" applyFill="1" applyBorder="1" applyAlignment="1" applyProtection="1">
      <alignment horizontal="left" vertical="center"/>
    </xf>
    <xf numFmtId="167" fontId="2" fillId="4" borderId="0" xfId="0" applyFont="1" applyFill="1" applyBorder="1" applyAlignment="1" applyProtection="1">
      <alignment horizontal="right" vertical="top"/>
    </xf>
    <xf numFmtId="167" fontId="39" fillId="4" borderId="21" xfId="0" applyFont="1" applyFill="1" applyBorder="1" applyAlignment="1" applyProtection="1">
      <alignment horizontal="left" vertical="center" indent="1"/>
    </xf>
    <xf numFmtId="10" fontId="35" fillId="4" borderId="21" xfId="2" applyNumberFormat="1" applyFont="1" applyFill="1" applyBorder="1" applyAlignment="1" applyProtection="1">
      <alignment horizontal="center" vertical="center"/>
    </xf>
    <xf numFmtId="167" fontId="11" fillId="4" borderId="74" xfId="0" applyFont="1" applyFill="1" applyBorder="1" applyAlignment="1" applyProtection="1">
      <alignment horizontal="center" vertical="center"/>
    </xf>
    <xf numFmtId="167" fontId="11" fillId="4" borderId="41" xfId="0" applyFont="1" applyFill="1" applyBorder="1" applyAlignment="1" applyProtection="1">
      <alignment horizontal="center" vertical="center"/>
    </xf>
    <xf numFmtId="167" fontId="11" fillId="4" borderId="73" xfId="0" applyFont="1" applyFill="1" applyBorder="1" applyAlignment="1" applyProtection="1">
      <alignment horizontal="center" vertical="center"/>
    </xf>
    <xf numFmtId="167" fontId="11" fillId="4" borderId="0" xfId="0" applyFont="1" applyFill="1" applyBorder="1" applyAlignment="1" applyProtection="1">
      <alignment horizontal="center" vertical="center"/>
    </xf>
    <xf numFmtId="167" fontId="11" fillId="4" borderId="75" xfId="0" applyFont="1" applyFill="1" applyBorder="1" applyAlignment="1" applyProtection="1">
      <alignment horizontal="center" vertical="center"/>
    </xf>
    <xf numFmtId="167" fontId="11" fillId="4" borderId="76" xfId="0" applyFont="1" applyFill="1" applyBorder="1" applyAlignment="1" applyProtection="1">
      <alignment horizontal="center" vertical="center"/>
    </xf>
    <xf numFmtId="165" fontId="35" fillId="4" borderId="21" xfId="0" applyNumberFormat="1" applyFont="1" applyFill="1" applyBorder="1" applyAlignment="1" applyProtection="1">
      <alignment horizontal="center" vertical="center"/>
    </xf>
    <xf numFmtId="167" fontId="35" fillId="4" borderId="0" xfId="0" applyFont="1" applyFill="1" applyBorder="1" applyAlignment="1" applyProtection="1">
      <alignment horizontal="center" vertical="center"/>
    </xf>
    <xf numFmtId="165" fontId="35" fillId="4" borderId="21" xfId="1" applyNumberFormat="1" applyFont="1" applyFill="1" applyBorder="1" applyAlignment="1" applyProtection="1">
      <alignment horizontal="center" vertical="center"/>
    </xf>
    <xf numFmtId="167" fontId="35" fillId="4" borderId="74" xfId="0" applyFont="1" applyFill="1" applyBorder="1" applyAlignment="1" applyProtection="1">
      <alignment horizontal="left" vertical="center" indent="1"/>
    </xf>
    <xf numFmtId="167" fontId="35" fillId="4" borderId="41" xfId="0" applyFont="1" applyFill="1" applyBorder="1" applyAlignment="1" applyProtection="1">
      <alignment horizontal="left" vertical="center" indent="1"/>
    </xf>
    <xf numFmtId="167" fontId="35" fillId="4" borderId="77" xfId="0" applyFont="1" applyFill="1" applyBorder="1" applyAlignment="1" applyProtection="1">
      <alignment horizontal="left" vertical="center" indent="1"/>
    </xf>
    <xf numFmtId="167" fontId="35" fillId="4" borderId="40" xfId="0" applyFont="1" applyFill="1" applyBorder="1" applyAlignment="1" applyProtection="1">
      <alignment horizontal="left" vertical="center" indent="1"/>
    </xf>
    <xf numFmtId="10" fontId="35" fillId="4" borderId="75" xfId="2" applyNumberFormat="1" applyFont="1" applyFill="1" applyBorder="1" applyAlignment="1" applyProtection="1">
      <alignment horizontal="center" vertical="center" shrinkToFit="1"/>
    </xf>
    <xf numFmtId="10" fontId="35" fillId="4" borderId="78" xfId="2" applyNumberFormat="1" applyFont="1" applyFill="1" applyBorder="1" applyAlignment="1" applyProtection="1">
      <alignment horizontal="center" vertical="center" shrinkToFit="1"/>
    </xf>
    <xf numFmtId="165" fontId="35" fillId="4" borderId="92" xfId="1" applyNumberFormat="1" applyFont="1" applyFill="1" applyBorder="1" applyAlignment="1" applyProtection="1">
      <alignment horizontal="center" vertical="center"/>
    </xf>
    <xf numFmtId="165" fontId="35" fillId="4" borderId="54" xfId="1" applyNumberFormat="1" applyFont="1" applyFill="1" applyBorder="1" applyAlignment="1" applyProtection="1">
      <alignment horizontal="center" vertical="center"/>
    </xf>
    <xf numFmtId="44" fontId="24" fillId="4" borderId="82" xfId="1" applyFont="1" applyFill="1" applyBorder="1" applyAlignment="1" applyProtection="1">
      <alignment horizontal="left" vertical="center"/>
    </xf>
    <xf numFmtId="44" fontId="24" fillId="4" borderId="0" xfId="1" applyFont="1" applyFill="1" applyBorder="1" applyAlignment="1" applyProtection="1">
      <alignment horizontal="left" vertical="center"/>
    </xf>
    <xf numFmtId="44" fontId="24" fillId="4" borderId="84" xfId="1" applyFont="1" applyFill="1" applyBorder="1" applyAlignment="1" applyProtection="1">
      <alignment horizontal="left" vertical="center"/>
    </xf>
    <xf numFmtId="44" fontId="24" fillId="4" borderId="85" xfId="1" applyFont="1" applyFill="1" applyBorder="1" applyAlignment="1" applyProtection="1">
      <alignment horizontal="left" vertical="center"/>
    </xf>
    <xf numFmtId="44" fontId="24" fillId="4" borderId="83" xfId="1" applyFont="1" applyFill="1" applyBorder="1" applyAlignment="1" applyProtection="1">
      <alignment horizontal="left" vertical="center"/>
    </xf>
    <xf numFmtId="44" fontId="24" fillId="4" borderId="86" xfId="1" applyFont="1" applyFill="1" applyBorder="1" applyAlignment="1" applyProtection="1">
      <alignment horizontal="left" vertical="center"/>
    </xf>
    <xf numFmtId="167" fontId="2" fillId="4" borderId="77" xfId="0" applyFont="1" applyFill="1" applyBorder="1" applyAlignment="1" applyProtection="1">
      <alignment horizontal="center" vertical="center"/>
    </xf>
    <xf numFmtId="167" fontId="2" fillId="4" borderId="40" xfId="0" applyFont="1" applyFill="1" applyBorder="1" applyAlignment="1" applyProtection="1">
      <alignment horizontal="center" vertical="center"/>
    </xf>
    <xf numFmtId="167" fontId="2" fillId="4" borderId="78" xfId="0" applyFont="1" applyFill="1" applyBorder="1" applyAlignment="1" applyProtection="1">
      <alignment horizontal="center" vertical="center"/>
    </xf>
    <xf numFmtId="167" fontId="42" fillId="4" borderId="0" xfId="0" applyFont="1" applyFill="1" applyBorder="1" applyAlignment="1" applyProtection="1">
      <alignment horizontal="center" vertical="center"/>
    </xf>
    <xf numFmtId="167" fontId="34" fillId="4" borderId="80" xfId="0" applyFont="1" applyFill="1" applyBorder="1" applyAlignment="1" applyProtection="1">
      <alignment horizontal="center" vertical="center" shrinkToFit="1"/>
    </xf>
    <xf numFmtId="167" fontId="34" fillId="4" borderId="40" xfId="0" applyFont="1" applyFill="1" applyBorder="1" applyAlignment="1" applyProtection="1">
      <alignment horizontal="center" vertical="center" shrinkToFit="1"/>
    </xf>
    <xf numFmtId="167" fontId="44" fillId="4" borderId="0" xfId="0" applyFont="1" applyFill="1" applyBorder="1" applyAlignment="1" applyProtection="1">
      <alignment horizontal="center" vertical="center" wrapText="1"/>
    </xf>
    <xf numFmtId="167" fontId="44" fillId="4" borderId="0" xfId="0" applyFont="1" applyFill="1" applyBorder="1" applyAlignment="1" applyProtection="1">
      <alignment horizontal="center" vertical="center"/>
    </xf>
    <xf numFmtId="167" fontId="44" fillId="4" borderId="85" xfId="0" applyFont="1" applyFill="1" applyBorder="1" applyAlignment="1" applyProtection="1">
      <alignment horizontal="center" vertical="center"/>
    </xf>
    <xf numFmtId="167" fontId="43" fillId="4" borderId="73" xfId="0" applyFont="1" applyFill="1" applyBorder="1" applyAlignment="1" applyProtection="1">
      <alignment horizontal="right" vertical="center"/>
    </xf>
    <xf numFmtId="167" fontId="43" fillId="4" borderId="0" xfId="0" applyFont="1" applyFill="1" applyBorder="1" applyAlignment="1" applyProtection="1">
      <alignment horizontal="right" vertical="center"/>
    </xf>
    <xf numFmtId="167" fontId="0" fillId="4" borderId="0" xfId="0" applyFill="1" applyBorder="1" applyAlignment="1" applyProtection="1">
      <alignment horizontal="center"/>
    </xf>
    <xf numFmtId="44" fontId="24" fillId="4" borderId="79" xfId="1" applyFont="1" applyFill="1" applyBorder="1" applyAlignment="1" applyProtection="1">
      <alignment horizontal="left" vertical="center"/>
    </xf>
    <xf numFmtId="44" fontId="24" fillId="4" borderId="80" xfId="1" applyFont="1" applyFill="1" applyBorder="1" applyAlignment="1" applyProtection="1">
      <alignment horizontal="left" vertical="center"/>
    </xf>
    <xf numFmtId="42" fontId="24" fillId="4" borderId="80" xfId="1" applyNumberFormat="1" applyFont="1" applyFill="1" applyBorder="1" applyAlignment="1" applyProtection="1">
      <alignment horizontal="left" vertical="center"/>
    </xf>
    <xf numFmtId="42" fontId="24" fillId="4" borderId="81" xfId="1" applyNumberFormat="1" applyFont="1" applyFill="1" applyBorder="1" applyAlignment="1" applyProtection="1">
      <alignment horizontal="left" vertical="center"/>
    </xf>
    <xf numFmtId="42" fontId="24" fillId="4" borderId="0" xfId="1" applyNumberFormat="1" applyFont="1" applyFill="1" applyBorder="1" applyAlignment="1" applyProtection="1">
      <alignment horizontal="left" vertical="center"/>
    </xf>
    <xf numFmtId="42" fontId="24" fillId="4" borderId="83" xfId="1" applyNumberFormat="1" applyFont="1" applyFill="1" applyBorder="1" applyAlignment="1" applyProtection="1">
      <alignment horizontal="left" vertical="center"/>
    </xf>
    <xf numFmtId="167" fontId="2" fillId="4" borderId="73" xfId="0" applyFont="1" applyFill="1" applyBorder="1" applyAlignment="1" applyProtection="1">
      <alignment horizontal="center" vertical="center"/>
    </xf>
    <xf numFmtId="167" fontId="2" fillId="4" borderId="0" xfId="0" applyFont="1" applyFill="1" applyBorder="1" applyAlignment="1" applyProtection="1">
      <alignment horizontal="center" vertical="center"/>
    </xf>
    <xf numFmtId="167" fontId="2" fillId="4" borderId="76" xfId="0" applyFont="1" applyFill="1" applyBorder="1" applyAlignment="1" applyProtection="1">
      <alignment horizontal="center" vertical="center"/>
    </xf>
    <xf numFmtId="167" fontId="24" fillId="4" borderId="0" xfId="0" applyFont="1" applyFill="1" applyBorder="1" applyAlignment="1" applyProtection="1">
      <alignment horizontal="center" vertical="center" wrapText="1"/>
    </xf>
    <xf numFmtId="167" fontId="10" fillId="4" borderId="0" xfId="0" applyFont="1" applyFill="1" applyBorder="1" applyAlignment="1" applyProtection="1">
      <alignment horizontal="left" vertical="center"/>
    </xf>
    <xf numFmtId="167" fontId="24" fillId="4" borderId="0" xfId="0" applyFont="1" applyFill="1" applyBorder="1" applyAlignment="1" applyProtection="1">
      <alignment horizontal="center" vertical="center"/>
    </xf>
    <xf numFmtId="167" fontId="38" fillId="4" borderId="0" xfId="0" applyFont="1" applyFill="1" applyBorder="1" applyAlignment="1" applyProtection="1">
      <alignment horizontal="center" vertical="center"/>
    </xf>
    <xf numFmtId="44" fontId="22" fillId="4" borderId="79" xfId="1" applyFont="1" applyFill="1" applyBorder="1" applyAlignment="1" applyProtection="1">
      <alignment horizontal="center" vertical="center" shrinkToFit="1"/>
      <protection locked="0"/>
    </xf>
    <xf numFmtId="44" fontId="22" fillId="4" borderId="82" xfId="1" applyFont="1" applyFill="1" applyBorder="1" applyAlignment="1" applyProtection="1">
      <alignment horizontal="center" vertical="center" shrinkToFit="1"/>
      <protection locked="0"/>
    </xf>
    <xf numFmtId="44" fontId="22" fillId="4" borderId="84" xfId="1" applyFont="1" applyFill="1" applyBorder="1" applyAlignment="1" applyProtection="1">
      <alignment horizontal="center" vertical="center" shrinkToFit="1"/>
      <protection locked="0"/>
    </xf>
    <xf numFmtId="44" fontId="23" fillId="4" borderId="87" xfId="1" applyFont="1" applyFill="1" applyBorder="1" applyAlignment="1" applyProtection="1">
      <alignment horizontal="center" vertical="center" shrinkToFit="1"/>
      <protection locked="0"/>
    </xf>
    <xf numFmtId="44" fontId="23" fillId="4" borderId="88" xfId="1" applyFont="1" applyFill="1" applyBorder="1" applyAlignment="1" applyProtection="1">
      <alignment horizontal="center" vertical="center" shrinkToFit="1"/>
      <protection locked="0"/>
    </xf>
    <xf numFmtId="44" fontId="23" fillId="4" borderId="89" xfId="1" applyFont="1" applyFill="1" applyBorder="1" applyAlignment="1" applyProtection="1">
      <alignment horizontal="center" vertical="center" shrinkToFit="1"/>
      <protection locked="0"/>
    </xf>
    <xf numFmtId="167" fontId="1" fillId="4" borderId="74" xfId="0" applyFont="1" applyFill="1" applyBorder="1" applyAlignment="1" applyProtection="1">
      <alignment horizontal="center" vertical="center"/>
    </xf>
    <xf numFmtId="167" fontId="1" fillId="4" borderId="41" xfId="0" applyFont="1" applyFill="1" applyBorder="1" applyAlignment="1" applyProtection="1">
      <alignment horizontal="center" vertical="center"/>
    </xf>
    <xf numFmtId="167" fontId="1" fillId="4" borderId="75" xfId="0" applyFont="1" applyFill="1" applyBorder="1" applyAlignment="1" applyProtection="1">
      <alignment horizontal="center" vertical="center"/>
    </xf>
    <xf numFmtId="167" fontId="1" fillId="4" borderId="73" xfId="0" applyFont="1" applyFill="1" applyBorder="1" applyAlignment="1" applyProtection="1">
      <alignment horizontal="center" vertical="center"/>
    </xf>
    <xf numFmtId="167" fontId="1" fillId="4" borderId="0" xfId="0" applyFont="1" applyFill="1" applyBorder="1" applyAlignment="1" applyProtection="1">
      <alignment horizontal="center" vertical="center"/>
    </xf>
    <xf numFmtId="167" fontId="1" fillId="4" borderId="76" xfId="0" applyFont="1" applyFill="1" applyBorder="1" applyAlignment="1" applyProtection="1">
      <alignment horizontal="center" vertical="center"/>
    </xf>
    <xf numFmtId="167" fontId="2" fillId="4" borderId="0" xfId="0" applyFont="1" applyFill="1" applyBorder="1" applyAlignment="1" applyProtection="1">
      <alignment horizontal="center" vertical="top" wrapText="1"/>
    </xf>
    <xf numFmtId="167" fontId="2" fillId="4" borderId="0" xfId="0" applyFont="1" applyFill="1" applyBorder="1" applyAlignment="1" applyProtection="1">
      <alignment horizontal="center" vertical="top"/>
    </xf>
    <xf numFmtId="167" fontId="50" fillId="0" borderId="0" xfId="0" applyFont="1" applyFill="1" applyBorder="1" applyAlignment="1" applyProtection="1">
      <alignment horizontal="center"/>
      <protection locked="0"/>
    </xf>
    <xf numFmtId="167" fontId="49" fillId="0" borderId="0" xfId="0" applyFont="1" applyFill="1" applyBorder="1" applyAlignment="1" applyProtection="1">
      <alignment horizontal="center"/>
      <protection locked="0"/>
    </xf>
    <xf numFmtId="44" fontId="51" fillId="0" borderId="0" xfId="1" applyFont="1" applyFill="1" applyBorder="1" applyAlignment="1" applyProtection="1">
      <alignment horizontal="center" vertical="center" shrinkToFit="1"/>
      <protection locked="0"/>
    </xf>
    <xf numFmtId="167" fontId="56" fillId="0" borderId="0" xfId="0" applyFont="1" applyFill="1" applyBorder="1" applyAlignment="1" applyProtection="1">
      <alignment horizontal="center" vertical="center"/>
      <protection locked="0"/>
    </xf>
    <xf numFmtId="167" fontId="55" fillId="0" borderId="0" xfId="0" applyFont="1" applyFill="1" applyBorder="1" applyAlignment="1" applyProtection="1">
      <alignment horizontal="center" vertical="center"/>
      <protection locked="0"/>
    </xf>
    <xf numFmtId="168" fontId="55" fillId="0" borderId="0" xfId="27" applyNumberFormat="1" applyFont="1" applyFill="1" applyBorder="1" applyAlignment="1" applyProtection="1">
      <alignment horizontal="center" vertical="center"/>
      <protection locked="0"/>
    </xf>
    <xf numFmtId="167" fontId="55" fillId="0" borderId="0" xfId="0" applyFont="1" applyFill="1" applyBorder="1" applyAlignment="1" applyProtection="1">
      <alignment horizontal="left"/>
      <protection locked="0"/>
    </xf>
    <xf numFmtId="167" fontId="55" fillId="0" borderId="0" xfId="0" applyFont="1" applyFill="1" applyBorder="1" applyAlignment="1" applyProtection="1">
      <alignment horizontal="center"/>
      <protection locked="0"/>
    </xf>
    <xf numFmtId="167" fontId="49" fillId="0" borderId="0" xfId="0" applyFont="1" applyFill="1" applyBorder="1" applyAlignment="1" applyProtection="1">
      <alignment horizontal="center" shrinkToFit="1"/>
      <protection locked="0"/>
    </xf>
    <xf numFmtId="167" fontId="12" fillId="4" borderId="0" xfId="0" applyFont="1" applyFill="1" applyAlignment="1" applyProtection="1">
      <alignment horizontal="center" wrapText="1"/>
    </xf>
    <xf numFmtId="167" fontId="46" fillId="4" borderId="80" xfId="0" applyFont="1" applyFill="1" applyBorder="1" applyAlignment="1" applyProtection="1">
      <alignment horizontal="right" vertical="center" shrinkToFit="1"/>
    </xf>
    <xf numFmtId="167" fontId="46" fillId="4" borderId="40" xfId="0" applyFont="1" applyFill="1" applyBorder="1" applyAlignment="1" applyProtection="1">
      <alignment horizontal="right" vertical="center" shrinkToFit="1"/>
    </xf>
    <xf numFmtId="167" fontId="13" fillId="4" borderId="80" xfId="15" applyFill="1" applyBorder="1" applyAlignment="1" applyProtection="1">
      <alignment horizontal="left" vertical="center" shrinkToFit="1"/>
      <protection locked="0"/>
    </xf>
    <xf numFmtId="167" fontId="13" fillId="4" borderId="40" xfId="15" applyFill="1" applyBorder="1" applyAlignment="1" applyProtection="1">
      <alignment horizontal="left" vertical="center" shrinkToFit="1"/>
      <protection locked="0"/>
    </xf>
    <xf numFmtId="167" fontId="24" fillId="4" borderId="85" xfId="0" applyFont="1" applyFill="1" applyBorder="1" applyAlignment="1" applyProtection="1">
      <alignment horizontal="left" vertical="center"/>
    </xf>
    <xf numFmtId="167" fontId="49" fillId="0" borderId="0" xfId="0" applyFont="1" applyFill="1" applyBorder="1" applyAlignment="1" applyProtection="1">
      <alignment horizontal="center" vertical="center"/>
      <protection locked="0"/>
    </xf>
    <xf numFmtId="167" fontId="37" fillId="0" borderId="0" xfId="0" applyFont="1" applyFill="1" applyBorder="1" applyAlignment="1" applyProtection="1">
      <alignment horizontal="left" vertical="center" indent="1"/>
      <protection locked="0"/>
    </xf>
    <xf numFmtId="165" fontId="59" fillId="0" borderId="0" xfId="1" applyNumberFormat="1" applyFont="1" applyFill="1" applyBorder="1" applyAlignment="1" applyProtection="1">
      <alignment horizontal="center" vertical="center"/>
      <protection locked="0"/>
    </xf>
    <xf numFmtId="167" fontId="56" fillId="0" borderId="0" xfId="0" applyFont="1" applyFill="1" applyBorder="1" applyAlignment="1" applyProtection="1">
      <alignment horizontal="center" vertical="center" wrapText="1"/>
      <protection locked="0"/>
    </xf>
    <xf numFmtId="167" fontId="49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NumberFormat="1" applyFont="1" applyFill="1" applyBorder="1" applyAlignment="1" applyProtection="1">
      <alignment horizontal="center" vertical="center"/>
      <protection locked="0"/>
    </xf>
    <xf numFmtId="167" fontId="37" fillId="0" borderId="0" xfId="0" applyFont="1" applyFill="1" applyBorder="1" applyAlignment="1" applyProtection="1">
      <alignment horizontal="center" vertical="center" shrinkToFit="1"/>
      <protection locked="0"/>
    </xf>
    <xf numFmtId="167" fontId="0" fillId="0" borderId="0" xfId="0" applyFill="1" applyBorder="1" applyAlignment="1" applyProtection="1">
      <alignment horizontal="center"/>
      <protection locked="0"/>
    </xf>
    <xf numFmtId="167" fontId="1" fillId="0" borderId="0" xfId="0" applyFont="1" applyFill="1" applyBorder="1" applyAlignment="1" applyProtection="1">
      <alignment horizontal="center" vertical="center"/>
    </xf>
    <xf numFmtId="167" fontId="37" fillId="0" borderId="0" xfId="0" applyFont="1" applyFill="1" applyBorder="1" applyAlignment="1" applyProtection="1">
      <alignment horizontal="center"/>
      <protection locked="0"/>
    </xf>
    <xf numFmtId="167" fontId="37" fillId="0" borderId="0" xfId="0" applyFont="1" applyFill="1" applyBorder="1" applyAlignment="1" applyProtection="1">
      <alignment horizontal="center" vertical="center"/>
      <protection locked="0"/>
    </xf>
    <xf numFmtId="167" fontId="37" fillId="0" borderId="0" xfId="0" applyFont="1" applyFill="1" applyBorder="1" applyAlignment="1" applyProtection="1">
      <alignment horizontal="center" vertical="center"/>
    </xf>
    <xf numFmtId="167" fontId="0" fillId="0" borderId="0" xfId="0" applyFill="1" applyBorder="1" applyAlignment="1" applyProtection="1">
      <alignment horizontal="center" vertical="center"/>
      <protection locked="0"/>
    </xf>
    <xf numFmtId="167" fontId="1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3" applyFont="1" applyFill="1" applyBorder="1" applyAlignment="1" applyProtection="1">
      <alignment horizontal="center" vertical="center" shrinkToFit="1"/>
      <protection locked="0"/>
    </xf>
    <xf numFmtId="8" fontId="37" fillId="0" borderId="0" xfId="8" applyNumberFormat="1" applyFont="1" applyFill="1" applyBorder="1" applyAlignment="1" applyProtection="1">
      <alignment horizontal="center" vertical="center" shrinkToFit="1"/>
      <protection locked="0"/>
    </xf>
    <xf numFmtId="10" fontId="37" fillId="0" borderId="0" xfId="2" applyNumberFormat="1" applyFont="1" applyFill="1" applyBorder="1" applyAlignment="1" applyProtection="1">
      <alignment horizontal="center" vertical="center"/>
      <protection locked="0"/>
    </xf>
    <xf numFmtId="10" fontId="59" fillId="0" borderId="0" xfId="2" applyNumberFormat="1" applyFont="1" applyFill="1" applyBorder="1" applyAlignment="1" applyProtection="1">
      <alignment horizontal="center" vertical="center"/>
      <protection locked="0"/>
    </xf>
    <xf numFmtId="167" fontId="37" fillId="0" borderId="0" xfId="0" applyFont="1" applyFill="1" applyBorder="1" applyAlignment="1" applyProtection="1">
      <alignment horizontal="left" vertical="center" indent="1" shrinkToFit="1"/>
      <protection locked="0"/>
    </xf>
    <xf numFmtId="167" fontId="50" fillId="0" borderId="0" xfId="0" applyFont="1" applyFill="1" applyBorder="1" applyAlignment="1" applyProtection="1">
      <alignment horizontal="center" vertical="top" shrinkToFit="1"/>
      <protection locked="0"/>
    </xf>
    <xf numFmtId="0" fontId="37" fillId="0" borderId="0" xfId="0" applyNumberFormat="1" applyFont="1" applyFill="1" applyBorder="1" applyAlignment="1" applyProtection="1">
      <alignment horizontal="center" shrinkToFit="1"/>
      <protection locked="0"/>
    </xf>
    <xf numFmtId="167" fontId="59" fillId="0" borderId="0" xfId="0" applyFont="1" applyFill="1" applyBorder="1" applyAlignment="1" applyProtection="1">
      <alignment horizontal="center" vertical="center" shrinkToFit="1"/>
      <protection locked="0"/>
    </xf>
    <xf numFmtId="167" fontId="50" fillId="0" borderId="0" xfId="0" applyFont="1" applyFill="1" applyBorder="1" applyAlignment="1" applyProtection="1">
      <alignment horizontal="center" vertical="center" shrinkToFit="1"/>
      <protection locked="0"/>
    </xf>
  </cellXfs>
  <cellStyles count="28">
    <cellStyle name="Comma" xfId="27" builtinId="3"/>
    <cellStyle name="Comma 2" xfId="4"/>
    <cellStyle name="Comma 2 2" xfId="22"/>
    <cellStyle name="Comma 3" xfId="8"/>
    <cellStyle name="Currency" xfId="1" builtinId="4"/>
    <cellStyle name="Currency 2" xfId="5"/>
    <cellStyle name="Currency 2 2" xfId="17"/>
    <cellStyle name="Currency 3" xfId="9"/>
    <cellStyle name="Hyperlink" xfId="15" builtinId="8"/>
    <cellStyle name="Hyperlink 2" xfId="18"/>
    <cellStyle name="Normal" xfId="0" builtinId="0"/>
    <cellStyle name="Normal 2" xfId="3"/>
    <cellStyle name="Normal 2 2" xfId="19"/>
    <cellStyle name="Normal 3" xfId="10"/>
    <cellStyle name="Normal 3 2" xfId="24"/>
    <cellStyle name="Normal 4" xfId="7"/>
    <cellStyle name="Normal 4 2" xfId="23"/>
    <cellStyle name="Normal 5" xfId="11"/>
    <cellStyle name="Normal 5 2" xfId="25"/>
    <cellStyle name="Normal 6" xfId="13"/>
    <cellStyle name="Normal 6 2" xfId="16"/>
    <cellStyle name="Normal 7" xfId="14"/>
    <cellStyle name="Normal 7 2" xfId="26"/>
    <cellStyle name="Normal 8" xfId="21"/>
    <cellStyle name="Percent" xfId="2" builtinId="5"/>
    <cellStyle name="Percent 2" xfId="6"/>
    <cellStyle name="Percent 2 2" xfId="20"/>
    <cellStyle name="Percent 3" xfId="12"/>
  </cellStyles>
  <dxfs count="0"/>
  <tableStyles count="0" defaultTableStyle="TableStyleMedium9" defaultPivotStyle="PivotStyleLight16"/>
  <colors>
    <mruColors>
      <color rgb="FFFFFF99"/>
      <color rgb="FFC0C0C0"/>
      <color rgb="FF43403D"/>
      <color rgb="FF9E5944"/>
      <color rgb="FFD8B0A4"/>
      <color rgb="FFC08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E$324" fmlaRange="$P$345:$P$350" noThreeD="1" sel="1" val="0"/>
</file>

<file path=xl/ctrlProps/ctrlProp2.xml><?xml version="1.0" encoding="utf-8"?>
<formControlPr xmlns="http://schemas.microsoft.com/office/spreadsheetml/2009/9/main" objectType="Drop" dropStyle="combo" dx="16" fmlaLink="$F$324" fmlaRange="$C$368:$C$378" noThreeD="1" sel="5" val="3"/>
</file>

<file path=xl/ctrlProps/ctrlProp3.xml><?xml version="1.0" encoding="utf-8"?>
<formControlPr xmlns="http://schemas.microsoft.com/office/spreadsheetml/2009/9/main" objectType="Drop" dropStyle="combo" dx="16" fmlaLink="$C$346" fmlaRange="$C$344:$C$345" noThreeD="1" sel="1" val="0"/>
</file>

<file path=xl/ctrlProps/ctrlProp4.xml><?xml version="1.0" encoding="utf-8"?>
<formControlPr xmlns="http://schemas.microsoft.com/office/spreadsheetml/2009/9/main" objectType="Drop" dropStyle="combo" dx="16" fmlaLink="$C$351" fmlaRange="$C$348:$C$350" noThreeD="1" sel="1" val="0"/>
</file>

<file path=xl/ctrlProps/ctrlProp5.xml><?xml version="1.0" encoding="utf-8"?>
<formControlPr xmlns="http://schemas.microsoft.com/office/spreadsheetml/2009/9/main" objectType="Drop" dropStyle="combo" dx="16" fmlaLink="$C$364" fmlaRange="$C$355:$C$359" noThreeD="1" sel="2" val="0"/>
</file>

<file path=xl/ctrlProps/ctrlProp6.xml><?xml version="1.0" encoding="utf-8"?>
<formControlPr xmlns="http://schemas.microsoft.com/office/spreadsheetml/2009/9/main" objectType="Drop" dropStyle="combo" dx="16" fmlaLink="$E$432" fmlaRange="$P$416:$P$423" noThreeD="1" sel="6" val="0"/>
</file>

<file path=xl/ctrlProps/ctrlProp7.xml><?xml version="1.0" encoding="utf-8"?>
<formControlPr xmlns="http://schemas.microsoft.com/office/spreadsheetml/2009/9/main" objectType="Drop" dropStyle="combo" dx="16" fmlaLink="$F$432" fmlaRange="$Q$416:$Q$428" noThreeD="1" sel="9" val="5"/>
</file>

<file path=xl/ctrlProps/ctrlProp8.xml><?xml version="1.0" encoding="utf-8"?>
<formControlPr xmlns="http://schemas.microsoft.com/office/spreadsheetml/2009/9/main" objectType="Drop" dropStyle="combo" dx="16" fmlaLink="$L$426" fmlaRange="$K$424:$L$425" noThreeD="1" sel="1" val="0"/>
</file>

<file path=xl/ctrlProps/ctrlProp9.xml><?xml version="1.0" encoding="utf-8"?>
<formControlPr xmlns="http://schemas.microsoft.com/office/spreadsheetml/2009/9/main" objectType="Drop" dropStyle="combo" dx="16" fmlaLink="$M$418" fmlaRange="$M$415:$M$417" noThreeD="1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68580</xdr:rowOff>
        </xdr:from>
        <xdr:to>
          <xdr:col>4</xdr:col>
          <xdr:colOff>480060</xdr:colOff>
          <xdr:row>16</xdr:row>
          <xdr:rowOff>144780</xdr:rowOff>
        </xdr:to>
        <xdr:sp macro="" textlink="">
          <xdr:nvSpPr>
            <xdr:cNvPr id="41985" name="Drop Dow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15</xdr:row>
          <xdr:rowOff>60960</xdr:rowOff>
        </xdr:from>
        <xdr:to>
          <xdr:col>6</xdr:col>
          <xdr:colOff>1211580</xdr:colOff>
          <xdr:row>16</xdr:row>
          <xdr:rowOff>144780</xdr:rowOff>
        </xdr:to>
        <xdr:sp macro="" textlink="">
          <xdr:nvSpPr>
            <xdr:cNvPr id="41986" name="Drop Down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135949</xdr:colOff>
      <xdr:row>1</xdr:row>
      <xdr:rowOff>53416</xdr:rowOff>
    </xdr:from>
    <xdr:to>
      <xdr:col>25</xdr:col>
      <xdr:colOff>114301</xdr:colOff>
      <xdr:row>42</xdr:row>
      <xdr:rowOff>89444</xdr:rowOff>
    </xdr:to>
    <xdr:sp macro="" textlink="">
      <xdr:nvSpPr>
        <xdr:cNvPr id="4" name="Rounded Rectangle 3"/>
        <xdr:cNvSpPr/>
      </xdr:nvSpPr>
      <xdr:spPr bwMode="auto">
        <a:xfrm>
          <a:off x="135949" y="144856"/>
          <a:ext cx="12597072" cy="6894028"/>
        </a:xfrm>
        <a:prstGeom prst="roundRect">
          <a:avLst>
            <a:gd name="adj" fmla="val 2534"/>
          </a:avLst>
        </a:prstGeom>
        <a:noFill/>
        <a:ln w="44450" cap="rnd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443023</xdr:colOff>
      <xdr:row>312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7857283" y="4823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NZ" sz="1100"/>
        </a:p>
      </xdr:txBody>
    </xdr:sp>
    <xdr:clientData/>
  </xdr:oneCellAnchor>
  <xdr:twoCellAnchor editAs="oneCell">
    <xdr:from>
      <xdr:col>1</xdr:col>
      <xdr:colOff>63265</xdr:colOff>
      <xdr:row>2</xdr:row>
      <xdr:rowOff>26216</xdr:rowOff>
    </xdr:from>
    <xdr:to>
      <xdr:col>6</xdr:col>
      <xdr:colOff>1033096</xdr:colOff>
      <xdr:row>5</xdr:row>
      <xdr:rowOff>135717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5" y="315776"/>
          <a:ext cx="4581711" cy="5667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17</xdr:row>
          <xdr:rowOff>22860</xdr:rowOff>
        </xdr:from>
        <xdr:to>
          <xdr:col>6</xdr:col>
          <xdr:colOff>1211580</xdr:colOff>
          <xdr:row>18</xdr:row>
          <xdr:rowOff>106680</xdr:rowOff>
        </xdr:to>
        <xdr:sp macro="" textlink="">
          <xdr:nvSpPr>
            <xdr:cNvPr id="41987" name="Drop Down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22860</xdr:rowOff>
        </xdr:from>
        <xdr:to>
          <xdr:col>4</xdr:col>
          <xdr:colOff>480060</xdr:colOff>
          <xdr:row>18</xdr:row>
          <xdr:rowOff>106680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13</xdr:row>
          <xdr:rowOff>30480</xdr:rowOff>
        </xdr:from>
        <xdr:to>
          <xdr:col>22</xdr:col>
          <xdr:colOff>342900</xdr:colOff>
          <xdr:row>14</xdr:row>
          <xdr:rowOff>137160</xdr:rowOff>
        </xdr:to>
        <xdr:sp macro="" textlink="">
          <xdr:nvSpPr>
            <xdr:cNvPr id="41989" name="Drop Down 5" hidden="1">
              <a:extLst>
                <a:ext uri="{63B3BB69-23CF-44E3-9099-C40C66FF867C}">
                  <a14:compatExt spid="_x0000_s41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60960</xdr:colOff>
      <xdr:row>1</xdr:row>
      <xdr:rowOff>99060</xdr:rowOff>
    </xdr:from>
    <xdr:to>
      <xdr:col>24</xdr:col>
      <xdr:colOff>76200</xdr:colOff>
      <xdr:row>39</xdr:row>
      <xdr:rowOff>83821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190500"/>
          <a:ext cx="7269480" cy="6339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60960</xdr:rowOff>
        </xdr:from>
        <xdr:to>
          <xdr:col>4</xdr:col>
          <xdr:colOff>480060</xdr:colOff>
          <xdr:row>18</xdr:row>
          <xdr:rowOff>137160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815340</xdr:colOff>
          <xdr:row>17</xdr:row>
          <xdr:rowOff>60960</xdr:rowOff>
        </xdr:from>
        <xdr:to>
          <xdr:col>6</xdr:col>
          <xdr:colOff>1272540</xdr:colOff>
          <xdr:row>18</xdr:row>
          <xdr:rowOff>160020</xdr:rowOff>
        </xdr:to>
        <xdr:sp macro="" textlink="">
          <xdr:nvSpPr>
            <xdr:cNvPr id="19458" name="Drop Dow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135949</xdr:colOff>
      <xdr:row>1</xdr:row>
      <xdr:rowOff>53416</xdr:rowOff>
    </xdr:from>
    <xdr:to>
      <xdr:col>9</xdr:col>
      <xdr:colOff>90055</xdr:colOff>
      <xdr:row>46</xdr:row>
      <xdr:rowOff>89444</xdr:rowOff>
    </xdr:to>
    <xdr:sp macro="" textlink="">
      <xdr:nvSpPr>
        <xdr:cNvPr id="4" name="Rounded Rectangle 3"/>
        <xdr:cNvSpPr/>
      </xdr:nvSpPr>
      <xdr:spPr bwMode="auto">
        <a:xfrm>
          <a:off x="135949" y="143471"/>
          <a:ext cx="5218833" cy="7545191"/>
        </a:xfrm>
        <a:prstGeom prst="roundRect">
          <a:avLst>
            <a:gd name="adj" fmla="val 2534"/>
          </a:avLst>
        </a:prstGeom>
        <a:noFill/>
        <a:ln w="44450" cap="rnd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443023</xdr:colOff>
      <xdr:row>415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7653448" y="4903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NZ" sz="1100"/>
        </a:p>
      </xdr:txBody>
    </xdr:sp>
    <xdr:clientData/>
  </xdr:oneCellAnchor>
  <xdr:twoCellAnchor editAs="oneCell">
    <xdr:from>
      <xdr:col>2</xdr:col>
      <xdr:colOff>139466</xdr:colOff>
      <xdr:row>2</xdr:row>
      <xdr:rowOff>88561</xdr:rowOff>
    </xdr:from>
    <xdr:to>
      <xdr:col>6</xdr:col>
      <xdr:colOff>1053436</xdr:colOff>
      <xdr:row>6</xdr:row>
      <xdr:rowOff>6927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39" y="379506"/>
          <a:ext cx="4384533" cy="5418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815340</xdr:colOff>
          <xdr:row>19</xdr:row>
          <xdr:rowOff>30480</xdr:rowOff>
        </xdr:from>
        <xdr:to>
          <xdr:col>6</xdr:col>
          <xdr:colOff>1264920</xdr:colOff>
          <xdr:row>20</xdr:row>
          <xdr:rowOff>114300</xdr:rowOff>
        </xdr:to>
        <xdr:sp macro="" textlink="">
          <xdr:nvSpPr>
            <xdr:cNvPr id="19459" name="Drop Dow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22860</xdr:rowOff>
        </xdr:from>
        <xdr:to>
          <xdr:col>4</xdr:col>
          <xdr:colOff>480060</xdr:colOff>
          <xdr:row>20</xdr:row>
          <xdr:rowOff>106680</xdr:rowOff>
        </xdr:to>
        <xdr:sp macro="" textlink="">
          <xdr:nvSpPr>
            <xdr:cNvPr id="19460" name="Drop Dow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1587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1587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13" Type="http://schemas.openxmlformats.org/officeDocument/2006/relationships/ctrlProp" Target="../ctrlProps/ctrlProp3.xml"/><Relationship Id="rId3" Type="http://schemas.openxmlformats.org/officeDocument/2006/relationships/hyperlink" Target="mailto:W%25@0%25%20F.R" TargetMode="External"/><Relationship Id="rId7" Type="http://schemas.openxmlformats.org/officeDocument/2006/relationships/hyperlink" Target="mailto:W%25@0%25%20F.R" TargetMode="External"/><Relationship Id="rId12" Type="http://schemas.openxmlformats.org/officeDocument/2006/relationships/ctrlProp" Target="../ctrlProps/ctrlProp2.xml"/><Relationship Id="rId2" Type="http://schemas.openxmlformats.org/officeDocument/2006/relationships/hyperlink" Target="mailto:W%25@0%25%20F.R" TargetMode="External"/><Relationship Id="rId1" Type="http://schemas.openxmlformats.org/officeDocument/2006/relationships/hyperlink" Target="mailto:W%25@0%25%20F.R" TargetMode="External"/><Relationship Id="rId6" Type="http://schemas.openxmlformats.org/officeDocument/2006/relationships/hyperlink" Target="http://www.creditcapable.co.nz/html/gold.html" TargetMode="External"/><Relationship Id="rId11" Type="http://schemas.openxmlformats.org/officeDocument/2006/relationships/ctrlProp" Target="../ctrlProps/ctrlProp1.xml"/><Relationship Id="rId5" Type="http://schemas.openxmlformats.org/officeDocument/2006/relationships/hyperlink" Target="mailto:W%25@0%25%20F.R" TargetMode="External"/><Relationship Id="rId15" Type="http://schemas.openxmlformats.org/officeDocument/2006/relationships/ctrlProp" Target="../ctrlProps/ctrlProp5.xml"/><Relationship Id="rId10" Type="http://schemas.openxmlformats.org/officeDocument/2006/relationships/vmlDrawing" Target="../drawings/vmlDrawing1.vml"/><Relationship Id="rId4" Type="http://schemas.openxmlformats.org/officeDocument/2006/relationships/hyperlink" Target="mailto:accounts@creditcapable.co.nz" TargetMode="External"/><Relationship Id="rId9" Type="http://schemas.openxmlformats.org/officeDocument/2006/relationships/drawing" Target="../drawings/drawing1.xml"/><Relationship Id="rId1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13" Type="http://schemas.openxmlformats.org/officeDocument/2006/relationships/comments" Target="../comments1.xml"/><Relationship Id="rId3" Type="http://schemas.openxmlformats.org/officeDocument/2006/relationships/hyperlink" Target="http://www.creditcapable.co.nz/html/gold.html" TargetMode="External"/><Relationship Id="rId7" Type="http://schemas.openxmlformats.org/officeDocument/2006/relationships/drawing" Target="../drawings/drawing2.xml"/><Relationship Id="rId12" Type="http://schemas.openxmlformats.org/officeDocument/2006/relationships/ctrlProp" Target="../ctrlProps/ctrlProp9.xml"/><Relationship Id="rId2" Type="http://schemas.openxmlformats.org/officeDocument/2006/relationships/hyperlink" Target="mailto:W%25@0%25%20F.R" TargetMode="External"/><Relationship Id="rId1" Type="http://schemas.openxmlformats.org/officeDocument/2006/relationships/hyperlink" Target="mailto:W%25@0%25%20F.R" TargetMode="External"/><Relationship Id="rId6" Type="http://schemas.openxmlformats.org/officeDocument/2006/relationships/printerSettings" Target="../printerSettings/printerSettings3.bin"/><Relationship Id="rId11" Type="http://schemas.openxmlformats.org/officeDocument/2006/relationships/ctrlProp" Target="../ctrlProps/ctrlProp8.xml"/><Relationship Id="rId5" Type="http://schemas.openxmlformats.org/officeDocument/2006/relationships/hyperlink" Target="http://www.creditcapable.co.nz/html/gold.html" TargetMode="External"/><Relationship Id="rId10" Type="http://schemas.openxmlformats.org/officeDocument/2006/relationships/ctrlProp" Target="../ctrlProps/ctrlProp7.xml"/><Relationship Id="rId4" Type="http://schemas.openxmlformats.org/officeDocument/2006/relationships/hyperlink" Target="mailto:accounts@creditcapable.co.nz" TargetMode="Externa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3"/>
  </sheetPr>
  <dimension ref="A165:P230"/>
  <sheetViews>
    <sheetView workbookViewId="0">
      <selection activeCell="A169" sqref="A169:IV224"/>
    </sheetView>
  </sheetViews>
  <sheetFormatPr defaultColWidth="9.109375" defaultRowHeight="13.2" x14ac:dyDescent="0.25"/>
  <cols>
    <col min="1" max="1" width="1.5546875" style="49" customWidth="1"/>
    <col min="2" max="2" width="27.6640625" style="49" customWidth="1"/>
    <col min="3" max="4" width="9.109375" style="49"/>
    <col min="5" max="5" width="27.5546875" style="49" customWidth="1"/>
    <col min="6" max="7" width="9.109375" style="49"/>
    <col min="8" max="8" width="4.44140625" style="49" customWidth="1"/>
    <col min="9" max="9" width="9.109375" style="49"/>
    <col min="10" max="10" width="9" style="49" customWidth="1"/>
    <col min="11" max="15" width="9.109375" style="49"/>
    <col min="16" max="16" width="10.88671875" style="49" customWidth="1"/>
    <col min="17" max="16384" width="9.109375" style="49"/>
  </cols>
  <sheetData>
    <row r="165" spans="1:16" ht="12.75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</row>
    <row r="166" spans="1:16" ht="12.75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</row>
    <row r="167" spans="1:16" ht="12.75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</row>
    <row r="168" spans="1:16" ht="12.75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</row>
    <row r="169" spans="1:16" s="48" customFormat="1" ht="12.75" hidden="1" customHeight="1" thickBot="1" x14ac:dyDescent="0.3"/>
    <row r="170" spans="1:16" s="48" customFormat="1" ht="12.75" hidden="1" customHeight="1" thickBot="1" x14ac:dyDescent="0.3">
      <c r="B170" s="853" t="s">
        <v>42</v>
      </c>
      <c r="C170" s="854"/>
      <c r="D170" s="855"/>
      <c r="E170" s="853" t="s">
        <v>0</v>
      </c>
      <c r="F170" s="854"/>
      <c r="G170" s="855"/>
      <c r="I170" s="858" t="s">
        <v>1</v>
      </c>
      <c r="J170" s="859"/>
      <c r="K170" s="50" t="s">
        <v>2</v>
      </c>
      <c r="L170" s="3" t="s">
        <v>3</v>
      </c>
      <c r="M170" s="51" t="e">
        <f>#REF!</f>
        <v>#REF!</v>
      </c>
      <c r="N170" s="52" t="s">
        <v>4</v>
      </c>
      <c r="O170" s="1" t="s">
        <v>5</v>
      </c>
      <c r="P170" s="2" t="s">
        <v>6</v>
      </c>
    </row>
    <row r="171" spans="1:16" s="48" customFormat="1" ht="12.75" hidden="1" customHeight="1" thickBot="1" x14ac:dyDescent="0.3">
      <c r="B171" s="3" t="s">
        <v>7</v>
      </c>
      <c r="C171" s="53">
        <v>0.22500000000000001</v>
      </c>
      <c r="D171" s="54"/>
      <c r="E171" s="3" t="s">
        <v>7</v>
      </c>
      <c r="F171" s="55">
        <f>$J$178</f>
        <v>0.10340000000000001</v>
      </c>
      <c r="G171" s="56"/>
      <c r="I171" s="57" t="s">
        <v>2</v>
      </c>
      <c r="J171" s="58" t="s">
        <v>6</v>
      </c>
      <c r="K171" s="59">
        <v>6</v>
      </c>
      <c r="L171" s="14" t="s">
        <v>41</v>
      </c>
      <c r="M171" s="60">
        <v>1</v>
      </c>
      <c r="N171" s="61" t="e">
        <f>IF(C173&gt;999,90,IF(C173&gt;499,90,"Min $500"))</f>
        <v>#REF!</v>
      </c>
      <c r="O171" s="62" t="s">
        <v>8</v>
      </c>
      <c r="P171" s="63" t="s">
        <v>9</v>
      </c>
    </row>
    <row r="172" spans="1:16" s="48" customFormat="1" ht="13.5" hidden="1" customHeight="1" thickBot="1" x14ac:dyDescent="0.3">
      <c r="B172" s="64" t="s">
        <v>10</v>
      </c>
      <c r="C172" s="65"/>
      <c r="D172" s="66"/>
      <c r="E172" s="64" t="s">
        <v>10</v>
      </c>
      <c r="F172" s="67"/>
      <c r="G172" s="66"/>
      <c r="I172" s="68">
        <v>5</v>
      </c>
      <c r="J172" s="69">
        <v>3</v>
      </c>
      <c r="K172" s="70">
        <v>12</v>
      </c>
      <c r="L172" s="14" t="s">
        <v>37</v>
      </c>
      <c r="M172" s="71" t="e">
        <f>M170*1.15-M170</f>
        <v>#REF!</v>
      </c>
      <c r="N172" s="60" t="s">
        <v>2</v>
      </c>
      <c r="O172" s="72" t="s">
        <v>11</v>
      </c>
      <c r="P172" s="73" t="s">
        <v>8</v>
      </c>
    </row>
    <row r="173" spans="1:16" s="48" customFormat="1" hidden="1" x14ac:dyDescent="0.25">
      <c r="B173" s="4" t="s">
        <v>12</v>
      </c>
      <c r="C173" s="74" t="e">
        <f>#REF!</f>
        <v>#REF!</v>
      </c>
      <c r="D173" s="75"/>
      <c r="E173" s="4" t="s">
        <v>12</v>
      </c>
      <c r="F173" s="74" t="e">
        <f>#REF!</f>
        <v>#REF!</v>
      </c>
      <c r="G173" s="75"/>
      <c r="I173" s="76">
        <v>6</v>
      </c>
      <c r="J173" s="77" t="b">
        <f>IF(I172=1, IF(J172=1, K183, IF(I172=1, IF(J172=2,L183,))))</f>
        <v>0</v>
      </c>
      <c r="K173" s="78">
        <v>18</v>
      </c>
      <c r="L173" s="14" t="s">
        <v>38</v>
      </c>
      <c r="M173" s="71" t="e">
        <f>M170*3/23</f>
        <v>#REF!</v>
      </c>
      <c r="N173" s="60">
        <f>IF(I172=1,6,IF(I172=2,12,IF(I172=3,18,IF(I172=4,24,IF(I172=5,36,IF(I172=6,48,IF(I172=7,60,0)))))))</f>
        <v>36</v>
      </c>
      <c r="O173" s="72" t="s">
        <v>13</v>
      </c>
      <c r="P173" s="73" t="s">
        <v>11</v>
      </c>
    </row>
    <row r="174" spans="1:16" s="48" customFormat="1" hidden="1" x14ac:dyDescent="0.25">
      <c r="B174" s="4" t="s">
        <v>14</v>
      </c>
      <c r="C174" s="79">
        <v>0</v>
      </c>
      <c r="D174" s="80"/>
      <c r="E174" s="4" t="s">
        <v>14</v>
      </c>
      <c r="F174" s="79" t="e">
        <f>IF(#REF!=1,#REF!, IF(#REF!=2,#REF!, IF(#REF!=3,#REF!, IF(#REF!=4,#REF!, IF(#REF!=5,#REF!,0)))))</f>
        <v>#REF!</v>
      </c>
      <c r="G174" s="80"/>
      <c r="I174" s="81">
        <v>12</v>
      </c>
      <c r="J174" s="82" t="b">
        <f>IF(I172=2, IF(J172=1,K184, IF(J172=2, L184, IF(J172=3,M184))))</f>
        <v>0</v>
      </c>
      <c r="K174" s="78">
        <v>24</v>
      </c>
      <c r="L174" s="14" t="s">
        <v>39</v>
      </c>
      <c r="M174" s="83" t="e">
        <f>IF(M171=1,M172, IF(M171=2,M173))</f>
        <v>#REF!</v>
      </c>
      <c r="N174" s="84" t="s">
        <v>15</v>
      </c>
      <c r="O174" s="72" t="s">
        <v>16</v>
      </c>
      <c r="P174" s="73" t="s">
        <v>13</v>
      </c>
    </row>
    <row r="175" spans="1:16" s="48" customFormat="1" ht="13.8" hidden="1" thickBot="1" x14ac:dyDescent="0.3">
      <c r="B175" s="4" t="s">
        <v>17</v>
      </c>
      <c r="C175" s="74">
        <v>0</v>
      </c>
      <c r="D175" s="85"/>
      <c r="E175" s="4" t="s">
        <v>17</v>
      </c>
      <c r="F175" s="74" t="e">
        <f>IF(#REF!=1,F173*F174,0)</f>
        <v>#REF!</v>
      </c>
      <c r="G175" s="85"/>
      <c r="I175" s="81">
        <v>18</v>
      </c>
      <c r="J175" s="82" t="b">
        <f>IF(I172=3, IF(J172=1,K185, IF(J172=2,L185, IF(J172=3,M185, IF(J172=4,N185)))))</f>
        <v>0</v>
      </c>
      <c r="K175" s="86">
        <v>36</v>
      </c>
      <c r="L175" s="15" t="s">
        <v>40</v>
      </c>
      <c r="M175" s="87" t="e">
        <f>IF(M171=1,M170+M172, IF(M171=2,M170))</f>
        <v>#REF!</v>
      </c>
      <c r="N175" s="88">
        <f>IF(J172=1,3,IF(J172=2,6,IF(J172=3,12,IF(J172=4,18,IF(J172=5,24,IF(J172=6,36,0))))))</f>
        <v>12</v>
      </c>
      <c r="O175" s="89" t="s">
        <v>18</v>
      </c>
      <c r="P175" s="73" t="s">
        <v>16</v>
      </c>
    </row>
    <row r="176" spans="1:16" s="48" customFormat="1" ht="13.8" hidden="1" thickBot="1" x14ac:dyDescent="0.3">
      <c r="B176" s="4" t="s">
        <v>4</v>
      </c>
      <c r="C176" s="90" t="e">
        <f>$N$171</f>
        <v>#REF!</v>
      </c>
      <c r="D176" s="85"/>
      <c r="E176" s="4" t="s">
        <v>4</v>
      </c>
      <c r="F176" s="90" t="e">
        <f>$N$171</f>
        <v>#REF!</v>
      </c>
      <c r="G176" s="85"/>
      <c r="I176" s="81">
        <v>24</v>
      </c>
      <c r="J176" s="82" t="b">
        <f>IF(I172=4,IF(J172=1,K186, IF(J172=2,L186, IF(J172=3,M186, IF(J172=4,N186, IF(J172=5,O186))))))</f>
        <v>0</v>
      </c>
      <c r="O176" s="91"/>
      <c r="P176" s="92" t="s">
        <v>18</v>
      </c>
    </row>
    <row r="177" spans="2:16" s="48" customFormat="1" ht="13.8" hidden="1" thickBot="1" x14ac:dyDescent="0.3">
      <c r="B177" s="5" t="s">
        <v>19</v>
      </c>
      <c r="C177" s="74" t="e">
        <f>C173+C175+C176</f>
        <v>#REF!</v>
      </c>
      <c r="D177" s="93" t="s">
        <v>20</v>
      </c>
      <c r="E177" s="5" t="s">
        <v>19</v>
      </c>
      <c r="F177" s="74" t="e">
        <f>F173+F175+F176</f>
        <v>#REF!</v>
      </c>
      <c r="G177" s="93" t="s">
        <v>20</v>
      </c>
      <c r="I177" s="68">
        <v>36</v>
      </c>
      <c r="J177" s="94">
        <f>IF(I172=5, IF(J172=1,K187, IF(J172=2,L187, IF(J172=3,M187, IF(J172=4,N187, IF(J172=5,O187, IF(J172=6,P187)))))))</f>
        <v>0.10340000000000001</v>
      </c>
    </row>
    <row r="178" spans="2:16" s="48" customFormat="1" ht="13.8" hidden="1" thickBot="1" x14ac:dyDescent="0.3">
      <c r="B178" s="4" t="s">
        <v>21</v>
      </c>
      <c r="C178" s="95" t="e">
        <f>#REF!</f>
        <v>#REF!</v>
      </c>
      <c r="D178" s="93" t="s">
        <v>22</v>
      </c>
      <c r="E178" s="4" t="s">
        <v>21</v>
      </c>
      <c r="F178" s="95" t="e">
        <f>#REF!</f>
        <v>#REF!</v>
      </c>
      <c r="G178" s="93" t="s">
        <v>22</v>
      </c>
      <c r="I178" s="96"/>
      <c r="J178" s="97">
        <f>SUM(J173:J177)</f>
        <v>0.10340000000000001</v>
      </c>
    </row>
    <row r="179" spans="2:16" s="48" customFormat="1" hidden="1" x14ac:dyDescent="0.25">
      <c r="B179" s="5" t="s">
        <v>23</v>
      </c>
      <c r="C179" s="98" t="e">
        <f>C177-C178</f>
        <v>#REF!</v>
      </c>
      <c r="D179" s="99" t="s">
        <v>24</v>
      </c>
      <c r="E179" s="5" t="s">
        <v>23</v>
      </c>
      <c r="F179" s="98" t="e">
        <f>F177-F178</f>
        <v>#REF!</v>
      </c>
      <c r="G179" s="99" t="s">
        <v>24</v>
      </c>
      <c r="M179" s="100"/>
    </row>
    <row r="180" spans="2:16" s="48" customFormat="1" ht="13.8" hidden="1" thickBot="1" x14ac:dyDescent="0.3">
      <c r="B180" s="4" t="s">
        <v>25</v>
      </c>
      <c r="C180" s="98" t="e">
        <f>C183-C179</f>
        <v>#REF!</v>
      </c>
      <c r="D180" s="101"/>
      <c r="E180" s="4" t="s">
        <v>25</v>
      </c>
      <c r="F180" s="98" t="e">
        <f>F183-F179</f>
        <v>#REF!</v>
      </c>
      <c r="G180" s="101"/>
    </row>
    <row r="181" spans="2:16" s="48" customFormat="1" ht="13.8" hidden="1" thickBot="1" x14ac:dyDescent="0.3">
      <c r="B181" s="5" t="s">
        <v>26</v>
      </c>
      <c r="C181" s="102" t="e">
        <f>C184-C179</f>
        <v>#REF!</v>
      </c>
      <c r="D181" s="93" t="s">
        <v>27</v>
      </c>
      <c r="E181" s="5" t="s">
        <v>26</v>
      </c>
      <c r="F181" s="102" t="e">
        <f>F184-F179</f>
        <v>#REF!</v>
      </c>
      <c r="G181" s="93" t="s">
        <v>27</v>
      </c>
      <c r="I181" s="28"/>
      <c r="J181" s="29"/>
      <c r="K181" s="863" t="s">
        <v>28</v>
      </c>
      <c r="L181" s="864"/>
      <c r="M181" s="864"/>
      <c r="N181" s="864"/>
      <c r="O181" s="864"/>
      <c r="P181" s="865"/>
    </row>
    <row r="182" spans="2:16" s="48" customFormat="1" ht="13.8" hidden="1" thickBot="1" x14ac:dyDescent="0.3">
      <c r="B182" s="4" t="s">
        <v>30</v>
      </c>
      <c r="C182" s="98" t="e">
        <f>C180</f>
        <v>#REF!</v>
      </c>
      <c r="D182" s="101"/>
      <c r="E182" s="4" t="s">
        <v>30</v>
      </c>
      <c r="F182" s="98" t="e">
        <f>F180</f>
        <v>#REF!</v>
      </c>
      <c r="G182" s="101"/>
      <c r="I182" s="860" t="s">
        <v>2</v>
      </c>
      <c r="J182" s="30"/>
      <c r="K182" s="31" t="s">
        <v>9</v>
      </c>
      <c r="L182" s="32" t="s">
        <v>8</v>
      </c>
      <c r="M182" s="32" t="s">
        <v>11</v>
      </c>
      <c r="N182" s="32" t="s">
        <v>13</v>
      </c>
      <c r="O182" s="32" t="s">
        <v>16</v>
      </c>
      <c r="P182" s="33" t="s">
        <v>18</v>
      </c>
    </row>
    <row r="183" spans="2:16" s="48" customFormat="1" hidden="1" x14ac:dyDescent="0.25">
      <c r="B183" s="5" t="s">
        <v>31</v>
      </c>
      <c r="C183" s="102" t="e">
        <f>C187*N173</f>
        <v>#REF!</v>
      </c>
      <c r="D183" s="93" t="s">
        <v>32</v>
      </c>
      <c r="E183" s="5" t="s">
        <v>31</v>
      </c>
      <c r="F183" s="102" t="e">
        <f>F187*N173</f>
        <v>#REF!</v>
      </c>
      <c r="G183" s="93" t="s">
        <v>32</v>
      </c>
      <c r="I183" s="861"/>
      <c r="J183" s="34">
        <v>6</v>
      </c>
      <c r="K183" s="16">
        <v>6.4399999999999999E-2</v>
      </c>
      <c r="L183" s="17">
        <v>0</v>
      </c>
      <c r="M183" s="18" t="s">
        <v>33</v>
      </c>
      <c r="N183" s="18" t="s">
        <v>33</v>
      </c>
      <c r="O183" s="18" t="s">
        <v>33</v>
      </c>
      <c r="P183" s="19" t="s">
        <v>33</v>
      </c>
    </row>
    <row r="184" spans="2:16" s="48" customFormat="1" hidden="1" x14ac:dyDescent="0.25">
      <c r="B184" s="5" t="s">
        <v>34</v>
      </c>
      <c r="C184" s="74" t="e">
        <f>C183+C178</f>
        <v>#REF!</v>
      </c>
      <c r="D184" s="99" t="s">
        <v>35</v>
      </c>
      <c r="E184" s="5" t="s">
        <v>34</v>
      </c>
      <c r="F184" s="74" t="e">
        <f>F183+F178</f>
        <v>#REF!</v>
      </c>
      <c r="G184" s="99" t="s">
        <v>35</v>
      </c>
      <c r="I184" s="861"/>
      <c r="J184" s="35">
        <v>12</v>
      </c>
      <c r="K184" s="20">
        <v>0.13039999999999999</v>
      </c>
      <c r="L184" s="21">
        <v>6.0900000000000003E-2</v>
      </c>
      <c r="M184" s="22">
        <v>0</v>
      </c>
      <c r="N184" s="22" t="s">
        <v>33</v>
      </c>
      <c r="O184" s="22" t="s">
        <v>33</v>
      </c>
      <c r="P184" s="23" t="s">
        <v>33</v>
      </c>
    </row>
    <row r="185" spans="2:16" s="48" customFormat="1" hidden="1" x14ac:dyDescent="0.25">
      <c r="B185" s="4" t="s">
        <v>36</v>
      </c>
      <c r="C185" s="103"/>
      <c r="D185" s="104"/>
      <c r="E185" s="4" t="s">
        <v>36</v>
      </c>
      <c r="F185" s="103"/>
      <c r="G185" s="104"/>
      <c r="I185" s="861"/>
      <c r="J185" s="35">
        <v>18</v>
      </c>
      <c r="K185" s="20">
        <v>0.1588</v>
      </c>
      <c r="L185" s="21">
        <v>0.1036</v>
      </c>
      <c r="M185" s="22">
        <v>2.7900000000000001E-2</v>
      </c>
      <c r="N185" s="22">
        <v>0</v>
      </c>
      <c r="O185" s="22" t="s">
        <v>33</v>
      </c>
      <c r="P185" s="23" t="s">
        <v>33</v>
      </c>
    </row>
    <row r="186" spans="2:16" s="48" customFormat="1" hidden="1" x14ac:dyDescent="0.25">
      <c r="B186" s="6" t="s">
        <v>7</v>
      </c>
      <c r="C186" s="105">
        <f>C171</f>
        <v>0.22500000000000001</v>
      </c>
      <c r="D186" s="75"/>
      <c r="E186" s="6" t="s">
        <v>7</v>
      </c>
      <c r="F186" s="105">
        <f>F171</f>
        <v>0.10340000000000001</v>
      </c>
      <c r="G186" s="75"/>
      <c r="I186" s="861"/>
      <c r="J186" s="35">
        <v>24</v>
      </c>
      <c r="K186" s="20">
        <v>0.17430000000000001</v>
      </c>
      <c r="L186" s="21">
        <v>0.12959999999999999</v>
      </c>
      <c r="M186" s="22">
        <v>5.9400000000000001E-2</v>
      </c>
      <c r="N186" s="22">
        <v>1.5900000000000001E-2</v>
      </c>
      <c r="O186" s="22">
        <v>0</v>
      </c>
      <c r="P186" s="23" t="s">
        <v>33</v>
      </c>
    </row>
    <row r="187" spans="2:16" s="48" customFormat="1" ht="13.8" hidden="1" thickBot="1" x14ac:dyDescent="0.3">
      <c r="B187" s="7" t="s">
        <v>29</v>
      </c>
      <c r="C187" s="106" t="e">
        <f>PMT(C171/12,N173,-C179)</f>
        <v>#REF!</v>
      </c>
      <c r="D187" s="107"/>
      <c r="E187" s="7" t="s">
        <v>29</v>
      </c>
      <c r="F187" s="106" t="e">
        <f>PMT(F171/12,N173,-F179)</f>
        <v>#REF!</v>
      </c>
      <c r="G187" s="107"/>
      <c r="I187" s="862"/>
      <c r="J187" s="36">
        <v>36</v>
      </c>
      <c r="K187" s="24">
        <v>0.19070000000000001</v>
      </c>
      <c r="L187" s="25">
        <v>0.15890000000000001</v>
      </c>
      <c r="M187" s="26">
        <v>0.10340000000000001</v>
      </c>
      <c r="N187" s="26">
        <v>5.91E-2</v>
      </c>
      <c r="O187" s="26">
        <v>2.69E-2</v>
      </c>
      <c r="P187" s="27">
        <v>0</v>
      </c>
    </row>
    <row r="188" spans="2:16" s="48" customFormat="1" ht="13.8" hidden="1" thickBot="1" x14ac:dyDescent="0.3">
      <c r="B188" s="102"/>
      <c r="C188" s="102"/>
      <c r="D188" s="108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2:16" s="48" customFormat="1" ht="13.8" hidden="1" thickBot="1" x14ac:dyDescent="0.3">
      <c r="B189" s="853" t="s">
        <v>43</v>
      </c>
      <c r="C189" s="854"/>
      <c r="D189" s="855"/>
      <c r="E189" s="853" t="s">
        <v>0</v>
      </c>
      <c r="F189" s="854"/>
      <c r="G189" s="855"/>
      <c r="I189" s="858" t="s">
        <v>1</v>
      </c>
      <c r="J189" s="859"/>
      <c r="K189" s="50" t="s">
        <v>2</v>
      </c>
      <c r="L189" s="3" t="s">
        <v>3</v>
      </c>
      <c r="M189" s="109" t="e">
        <f>#REF!</f>
        <v>#REF!</v>
      </c>
      <c r="N189" s="52" t="s">
        <v>4</v>
      </c>
      <c r="O189" s="1" t="s">
        <v>5</v>
      </c>
      <c r="P189" s="2" t="s">
        <v>6</v>
      </c>
    </row>
    <row r="190" spans="2:16" s="48" customFormat="1" ht="13.8" hidden="1" thickBot="1" x14ac:dyDescent="0.3">
      <c r="B190" s="3" t="s">
        <v>7</v>
      </c>
      <c r="C190" s="110">
        <f>$C$171</f>
        <v>0.22500000000000001</v>
      </c>
      <c r="D190" s="54"/>
      <c r="E190" s="3" t="s">
        <v>7</v>
      </c>
      <c r="F190" s="55">
        <f>J197</f>
        <v>0.10340000000000001</v>
      </c>
      <c r="G190" s="56"/>
      <c r="I190" s="57" t="s">
        <v>2</v>
      </c>
      <c r="J190" s="58" t="s">
        <v>6</v>
      </c>
      <c r="K190" s="59">
        <v>6</v>
      </c>
      <c r="L190" s="14" t="s">
        <v>41</v>
      </c>
      <c r="M190" s="60">
        <v>1</v>
      </c>
      <c r="N190" s="61" t="e">
        <f>IF(C192&gt;999,90,IF(C192&gt;499,90,"Min $500"))</f>
        <v>#REF!</v>
      </c>
      <c r="O190" s="62" t="s">
        <v>8</v>
      </c>
      <c r="P190" s="63" t="s">
        <v>9</v>
      </c>
    </row>
    <row r="191" spans="2:16" s="48" customFormat="1" ht="13.8" hidden="1" thickBot="1" x14ac:dyDescent="0.3">
      <c r="B191" s="64" t="s">
        <v>10</v>
      </c>
      <c r="C191" s="65"/>
      <c r="D191" s="66"/>
      <c r="E191" s="64" t="s">
        <v>10</v>
      </c>
      <c r="F191" s="67"/>
      <c r="G191" s="66"/>
      <c r="I191" s="68">
        <v>5</v>
      </c>
      <c r="J191" s="69">
        <v>3</v>
      </c>
      <c r="K191" s="70">
        <v>12</v>
      </c>
      <c r="L191" s="14" t="s">
        <v>37</v>
      </c>
      <c r="M191" s="71" t="e">
        <f>M189*1.15-M189</f>
        <v>#REF!</v>
      </c>
      <c r="N191" s="60" t="s">
        <v>2</v>
      </c>
      <c r="O191" s="72" t="s">
        <v>11</v>
      </c>
      <c r="P191" s="73" t="s">
        <v>8</v>
      </c>
    </row>
    <row r="192" spans="2:16" s="48" customFormat="1" hidden="1" x14ac:dyDescent="0.25">
      <c r="B192" s="4" t="s">
        <v>12</v>
      </c>
      <c r="C192" s="74" t="e">
        <f>#REF!</f>
        <v>#REF!</v>
      </c>
      <c r="D192" s="75"/>
      <c r="E192" s="4" t="s">
        <v>12</v>
      </c>
      <c r="F192" s="74" t="e">
        <f>#REF!</f>
        <v>#REF!</v>
      </c>
      <c r="G192" s="75"/>
      <c r="I192" s="76">
        <v>6</v>
      </c>
      <c r="J192" s="77" t="b">
        <f>IF(I191=1, IF(J191=1, K201, IF(I191=1, IF(J191=2,L201,))))</f>
        <v>0</v>
      </c>
      <c r="K192" s="78">
        <v>18</v>
      </c>
      <c r="L192" s="14" t="s">
        <v>38</v>
      </c>
      <c r="M192" s="71" t="e">
        <f>M189*3/23</f>
        <v>#REF!</v>
      </c>
      <c r="N192" s="60">
        <f>IF(I191=1,6,IF(I191=2,12,IF(I191=3,18,IF(I191=4,24,IF(I191=5,36,IF(I191=6,48,IF(I191=7,60,0)))))))</f>
        <v>36</v>
      </c>
      <c r="O192" s="72" t="s">
        <v>13</v>
      </c>
      <c r="P192" s="73" t="s">
        <v>11</v>
      </c>
    </row>
    <row r="193" spans="2:16" s="48" customFormat="1" hidden="1" x14ac:dyDescent="0.25">
      <c r="B193" s="4" t="s">
        <v>14</v>
      </c>
      <c r="C193" s="79">
        <v>0</v>
      </c>
      <c r="D193" s="80"/>
      <c r="E193" s="4" t="s">
        <v>14</v>
      </c>
      <c r="F193" s="79" t="e">
        <f>IF(#REF!=1,#REF!, IF(#REF!=2,#REF!, IF(#REF!=3,#REF!, IF(#REF!=4,#REF!, IF(#REF!=5,#REF!,0)))))</f>
        <v>#REF!</v>
      </c>
      <c r="G193" s="80"/>
      <c r="I193" s="81">
        <v>12</v>
      </c>
      <c r="J193" s="82" t="b">
        <f>IF(I191=2, IF(J191=1,K202, IF(J191=2, L202, IF(J191=3,M202))))</f>
        <v>0</v>
      </c>
      <c r="K193" s="78">
        <v>24</v>
      </c>
      <c r="L193" s="14" t="s">
        <v>39</v>
      </c>
      <c r="M193" s="83" t="e">
        <f>IF(M190=1,M191, IF(M190=2,M192))</f>
        <v>#REF!</v>
      </c>
      <c r="N193" s="84" t="s">
        <v>15</v>
      </c>
      <c r="O193" s="72" t="s">
        <v>16</v>
      </c>
      <c r="P193" s="73" t="s">
        <v>13</v>
      </c>
    </row>
    <row r="194" spans="2:16" s="48" customFormat="1" ht="13.8" hidden="1" thickBot="1" x14ac:dyDescent="0.3">
      <c r="B194" s="4" t="s">
        <v>17</v>
      </c>
      <c r="C194" s="74">
        <v>0</v>
      </c>
      <c r="D194" s="85"/>
      <c r="E194" s="4" t="s">
        <v>17</v>
      </c>
      <c r="F194" s="74" t="e">
        <f>IF(#REF!=1,F192*F193,0)</f>
        <v>#REF!</v>
      </c>
      <c r="G194" s="85"/>
      <c r="I194" s="81">
        <v>18</v>
      </c>
      <c r="J194" s="82" t="b">
        <f>IF(I191=3, IF(J191=1,K203, IF(J191=2,L203, IF(J191=3,M203, IF(J191=4,N203)))))</f>
        <v>0</v>
      </c>
      <c r="K194" s="86">
        <v>36</v>
      </c>
      <c r="L194" s="15" t="s">
        <v>40</v>
      </c>
      <c r="M194" s="87" t="e">
        <f>IF(M190=1,M189+M191, IF(M190=2,M189))</f>
        <v>#REF!</v>
      </c>
      <c r="N194" s="88">
        <v>1</v>
      </c>
      <c r="O194" s="89" t="s">
        <v>18</v>
      </c>
      <c r="P194" s="73" t="s">
        <v>16</v>
      </c>
    </row>
    <row r="195" spans="2:16" s="48" customFormat="1" ht="13.8" hidden="1" thickBot="1" x14ac:dyDescent="0.3">
      <c r="B195" s="4" t="s">
        <v>4</v>
      </c>
      <c r="C195" s="90" t="e">
        <f>N190</f>
        <v>#REF!</v>
      </c>
      <c r="D195" s="85"/>
      <c r="E195" s="4" t="s">
        <v>4</v>
      </c>
      <c r="F195" s="90" t="e">
        <f>N190</f>
        <v>#REF!</v>
      </c>
      <c r="G195" s="85"/>
      <c r="I195" s="81">
        <v>24</v>
      </c>
      <c r="J195" s="82" t="b">
        <f>IF(I191=4,IF(J191=1,K204, IF(J191=2,L204, IF(J191=3,M204, IF(J191=4,N204, IF(J191=5,O204))))))</f>
        <v>0</v>
      </c>
      <c r="O195" s="91"/>
      <c r="P195" s="92" t="s">
        <v>18</v>
      </c>
    </row>
    <row r="196" spans="2:16" s="48" customFormat="1" ht="13.8" hidden="1" thickBot="1" x14ac:dyDescent="0.3">
      <c r="B196" s="5" t="s">
        <v>19</v>
      </c>
      <c r="C196" s="74" t="e">
        <f>C192+C194+C195</f>
        <v>#REF!</v>
      </c>
      <c r="D196" s="93" t="s">
        <v>20</v>
      </c>
      <c r="E196" s="5" t="s">
        <v>19</v>
      </c>
      <c r="F196" s="74" t="e">
        <f>F192+F194+F195</f>
        <v>#REF!</v>
      </c>
      <c r="G196" s="93" t="s">
        <v>20</v>
      </c>
      <c r="I196" s="68">
        <v>36</v>
      </c>
      <c r="J196" s="94">
        <f>IF(I191=5, IF(J191=1,K205, IF(J191=2,L205, IF(J191=3,M205, IF(J191=4,N205, IF(J191=5,O205, IF(J191=6,P205)))))))</f>
        <v>0.10340000000000001</v>
      </c>
    </row>
    <row r="197" spans="2:16" s="48" customFormat="1" ht="13.8" hidden="1" thickBot="1" x14ac:dyDescent="0.3">
      <c r="B197" s="4" t="s">
        <v>21</v>
      </c>
      <c r="C197" s="111" t="e">
        <f>#REF!</f>
        <v>#REF!</v>
      </c>
      <c r="D197" s="93" t="s">
        <v>22</v>
      </c>
      <c r="E197" s="4" t="s">
        <v>21</v>
      </c>
      <c r="F197" s="111" t="e">
        <f>#REF!</f>
        <v>#REF!</v>
      </c>
      <c r="G197" s="93" t="s">
        <v>22</v>
      </c>
      <c r="I197" s="96"/>
      <c r="J197" s="97">
        <f>SUM(J192:J196)</f>
        <v>0.10340000000000001</v>
      </c>
    </row>
    <row r="198" spans="2:16" s="48" customFormat="1" ht="13.8" hidden="1" thickBot="1" x14ac:dyDescent="0.3">
      <c r="B198" s="5" t="s">
        <v>23</v>
      </c>
      <c r="C198" s="98" t="e">
        <f>C196-C197</f>
        <v>#REF!</v>
      </c>
      <c r="D198" s="99" t="s">
        <v>24</v>
      </c>
      <c r="E198" s="5" t="s">
        <v>23</v>
      </c>
      <c r="F198" s="98" t="e">
        <f>F196-F197</f>
        <v>#REF!</v>
      </c>
      <c r="G198" s="99" t="s">
        <v>24</v>
      </c>
      <c r="M198" s="100"/>
    </row>
    <row r="199" spans="2:16" s="48" customFormat="1" ht="13.8" hidden="1" thickBot="1" x14ac:dyDescent="0.3">
      <c r="B199" s="4" t="s">
        <v>25</v>
      </c>
      <c r="C199" s="98" t="e">
        <f>C202-C198</f>
        <v>#REF!</v>
      </c>
      <c r="D199" s="101"/>
      <c r="E199" s="4" t="s">
        <v>25</v>
      </c>
      <c r="F199" s="98" t="e">
        <f>F202-F198</f>
        <v>#REF!</v>
      </c>
      <c r="G199" s="101"/>
      <c r="I199" s="28"/>
      <c r="J199" s="29"/>
      <c r="K199" s="863" t="s">
        <v>28</v>
      </c>
      <c r="L199" s="864"/>
      <c r="M199" s="864"/>
      <c r="N199" s="864"/>
      <c r="O199" s="864"/>
      <c r="P199" s="865"/>
    </row>
    <row r="200" spans="2:16" s="48" customFormat="1" ht="13.8" hidden="1" thickBot="1" x14ac:dyDescent="0.3">
      <c r="B200" s="5" t="s">
        <v>26</v>
      </c>
      <c r="C200" s="102" t="e">
        <f>C203-C198</f>
        <v>#REF!</v>
      </c>
      <c r="D200" s="93" t="s">
        <v>27</v>
      </c>
      <c r="E200" s="5" t="s">
        <v>26</v>
      </c>
      <c r="F200" s="102" t="e">
        <f>F203-F198</f>
        <v>#REF!</v>
      </c>
      <c r="G200" s="93" t="s">
        <v>27</v>
      </c>
      <c r="I200" s="860" t="s">
        <v>2</v>
      </c>
      <c r="J200" s="30"/>
      <c r="K200" s="31" t="s">
        <v>9</v>
      </c>
      <c r="L200" s="32" t="s">
        <v>8</v>
      </c>
      <c r="M200" s="32" t="s">
        <v>11</v>
      </c>
      <c r="N200" s="32" t="s">
        <v>13</v>
      </c>
      <c r="O200" s="32" t="s">
        <v>16</v>
      </c>
      <c r="P200" s="33" t="s">
        <v>18</v>
      </c>
    </row>
    <row r="201" spans="2:16" s="48" customFormat="1" hidden="1" x14ac:dyDescent="0.25">
      <c r="B201" s="4" t="s">
        <v>30</v>
      </c>
      <c r="C201" s="98" t="e">
        <f>C199</f>
        <v>#REF!</v>
      </c>
      <c r="D201" s="101"/>
      <c r="E201" s="4" t="s">
        <v>30</v>
      </c>
      <c r="F201" s="98" t="e">
        <f>F199</f>
        <v>#REF!</v>
      </c>
      <c r="G201" s="101"/>
      <c r="I201" s="861"/>
      <c r="J201" s="34">
        <v>6</v>
      </c>
      <c r="K201" s="37">
        <f t="shared" ref="K201:P205" si="0">K183</f>
        <v>6.4399999999999999E-2</v>
      </c>
      <c r="L201" s="38">
        <f t="shared" si="0"/>
        <v>0</v>
      </c>
      <c r="M201" s="39" t="str">
        <f t="shared" si="0"/>
        <v>-</v>
      </c>
      <c r="N201" s="39" t="str">
        <f t="shared" si="0"/>
        <v>-</v>
      </c>
      <c r="O201" s="39" t="str">
        <f t="shared" si="0"/>
        <v>-</v>
      </c>
      <c r="P201" s="40" t="str">
        <f t="shared" si="0"/>
        <v>-</v>
      </c>
    </row>
    <row r="202" spans="2:16" s="48" customFormat="1" hidden="1" x14ac:dyDescent="0.25">
      <c r="B202" s="5" t="s">
        <v>31</v>
      </c>
      <c r="C202" s="102" t="e">
        <f>C205*N192</f>
        <v>#REF!</v>
      </c>
      <c r="D202" s="93" t="s">
        <v>32</v>
      </c>
      <c r="E202" s="5" t="s">
        <v>31</v>
      </c>
      <c r="F202" s="102" t="e">
        <f>F205*N192</f>
        <v>#REF!</v>
      </c>
      <c r="G202" s="93" t="s">
        <v>32</v>
      </c>
      <c r="I202" s="861"/>
      <c r="J202" s="35">
        <v>12</v>
      </c>
      <c r="K202" s="41">
        <f t="shared" si="0"/>
        <v>0.13039999999999999</v>
      </c>
      <c r="L202" s="42">
        <f t="shared" si="0"/>
        <v>6.0900000000000003E-2</v>
      </c>
      <c r="M202" s="43">
        <f t="shared" si="0"/>
        <v>0</v>
      </c>
      <c r="N202" s="43" t="str">
        <f t="shared" si="0"/>
        <v>-</v>
      </c>
      <c r="O202" s="43" t="str">
        <f t="shared" si="0"/>
        <v>-</v>
      </c>
      <c r="P202" s="44" t="str">
        <f t="shared" si="0"/>
        <v>-</v>
      </c>
    </row>
    <row r="203" spans="2:16" s="48" customFormat="1" hidden="1" x14ac:dyDescent="0.25">
      <c r="B203" s="5" t="s">
        <v>34</v>
      </c>
      <c r="C203" s="74" t="e">
        <f>C202+C197</f>
        <v>#REF!</v>
      </c>
      <c r="D203" s="99" t="s">
        <v>35</v>
      </c>
      <c r="E203" s="5" t="s">
        <v>34</v>
      </c>
      <c r="F203" s="74" t="e">
        <f>F202+F197</f>
        <v>#REF!</v>
      </c>
      <c r="G203" s="99" t="s">
        <v>35</v>
      </c>
      <c r="I203" s="861"/>
      <c r="J203" s="35">
        <v>18</v>
      </c>
      <c r="K203" s="41">
        <f t="shared" si="0"/>
        <v>0.1588</v>
      </c>
      <c r="L203" s="42">
        <f t="shared" si="0"/>
        <v>0.1036</v>
      </c>
      <c r="M203" s="43">
        <f t="shared" si="0"/>
        <v>2.7900000000000001E-2</v>
      </c>
      <c r="N203" s="43">
        <f t="shared" si="0"/>
        <v>0</v>
      </c>
      <c r="O203" s="43" t="str">
        <f t="shared" si="0"/>
        <v>-</v>
      </c>
      <c r="P203" s="44" t="str">
        <f t="shared" si="0"/>
        <v>-</v>
      </c>
    </row>
    <row r="204" spans="2:16" s="48" customFormat="1" hidden="1" x14ac:dyDescent="0.25">
      <c r="B204" s="6" t="s">
        <v>7</v>
      </c>
      <c r="C204" s="105" t="e">
        <f>#REF!</f>
        <v>#REF!</v>
      </c>
      <c r="D204" s="75"/>
      <c r="E204" s="6" t="s">
        <v>7</v>
      </c>
      <c r="F204" s="105">
        <f>F190</f>
        <v>0.10340000000000001</v>
      </c>
      <c r="G204" s="75"/>
      <c r="I204" s="861"/>
      <c r="J204" s="35">
        <v>24</v>
      </c>
      <c r="K204" s="41">
        <f t="shared" si="0"/>
        <v>0.17430000000000001</v>
      </c>
      <c r="L204" s="42">
        <f t="shared" si="0"/>
        <v>0.12959999999999999</v>
      </c>
      <c r="M204" s="43">
        <f t="shared" si="0"/>
        <v>5.9400000000000001E-2</v>
      </c>
      <c r="N204" s="43">
        <f t="shared" si="0"/>
        <v>1.5900000000000001E-2</v>
      </c>
      <c r="O204" s="43">
        <f t="shared" si="0"/>
        <v>0</v>
      </c>
      <c r="P204" s="44" t="str">
        <f t="shared" si="0"/>
        <v>-</v>
      </c>
    </row>
    <row r="205" spans="2:16" s="48" customFormat="1" ht="13.8" hidden="1" thickBot="1" x14ac:dyDescent="0.3">
      <c r="B205" s="7" t="s">
        <v>29</v>
      </c>
      <c r="C205" s="106" t="e">
        <f>PMT(C190/12,N192,-C198)</f>
        <v>#REF!</v>
      </c>
      <c r="D205" s="107"/>
      <c r="E205" s="7" t="s">
        <v>29</v>
      </c>
      <c r="F205" s="106" t="e">
        <f>PMT(F190/12,N192,-F198)</f>
        <v>#REF!</v>
      </c>
      <c r="G205" s="107"/>
      <c r="I205" s="862"/>
      <c r="J205" s="36">
        <v>36</v>
      </c>
      <c r="K205" s="45">
        <f t="shared" si="0"/>
        <v>0.19070000000000001</v>
      </c>
      <c r="L205" s="46">
        <f t="shared" si="0"/>
        <v>0.15890000000000001</v>
      </c>
      <c r="M205" s="47">
        <f t="shared" si="0"/>
        <v>0.10340000000000001</v>
      </c>
      <c r="N205" s="47">
        <f t="shared" si="0"/>
        <v>5.91E-2</v>
      </c>
      <c r="O205" s="47">
        <f t="shared" si="0"/>
        <v>2.69E-2</v>
      </c>
      <c r="P205" s="8">
        <f t="shared" si="0"/>
        <v>0</v>
      </c>
    </row>
    <row r="206" spans="2:16" s="48" customFormat="1" ht="13.8" hidden="1" thickBot="1" x14ac:dyDescent="0.3">
      <c r="B206" s="13"/>
      <c r="C206" s="13"/>
      <c r="D206" s="13"/>
      <c r="E206" s="13"/>
      <c r="F206" s="13"/>
      <c r="G206" s="13"/>
      <c r="I206" s="13"/>
      <c r="J206" s="13"/>
      <c r="K206" s="13"/>
      <c r="L206" s="13"/>
      <c r="M206" s="13"/>
      <c r="N206" s="13"/>
      <c r="O206" s="13"/>
      <c r="P206" s="13"/>
    </row>
    <row r="207" spans="2:16" s="48" customFormat="1" ht="13.8" hidden="1" thickBot="1" x14ac:dyDescent="0.3">
      <c r="B207" s="853" t="s">
        <v>44</v>
      </c>
      <c r="C207" s="854"/>
      <c r="D207" s="855"/>
      <c r="E207" s="853" t="s">
        <v>0</v>
      </c>
      <c r="F207" s="854"/>
      <c r="G207" s="855"/>
      <c r="I207" s="856" t="s">
        <v>1</v>
      </c>
      <c r="J207" s="857"/>
      <c r="K207" s="50" t="s">
        <v>2</v>
      </c>
      <c r="L207" s="3" t="s">
        <v>3</v>
      </c>
      <c r="M207" s="109" t="e">
        <f>#REF!</f>
        <v>#REF!</v>
      </c>
      <c r="N207" s="52" t="s">
        <v>4</v>
      </c>
      <c r="O207" s="1" t="s">
        <v>5</v>
      </c>
      <c r="P207" s="2" t="s">
        <v>6</v>
      </c>
    </row>
    <row r="208" spans="2:16" s="48" customFormat="1" ht="13.8" hidden="1" thickBot="1" x14ac:dyDescent="0.3">
      <c r="B208" s="3" t="s">
        <v>7</v>
      </c>
      <c r="C208" s="110">
        <f>$C$171</f>
        <v>0.22500000000000001</v>
      </c>
      <c r="D208" s="54"/>
      <c r="E208" s="3" t="s">
        <v>7</v>
      </c>
      <c r="F208" s="55">
        <f>J215</f>
        <v>0.10340000000000001</v>
      </c>
      <c r="G208" s="56"/>
      <c r="I208" s="57" t="s">
        <v>2</v>
      </c>
      <c r="J208" s="58" t="s">
        <v>6</v>
      </c>
      <c r="K208" s="59">
        <v>6</v>
      </c>
      <c r="L208" s="14" t="s">
        <v>41</v>
      </c>
      <c r="M208" s="60">
        <v>1</v>
      </c>
      <c r="N208" s="61" t="e">
        <f>IF(C210&gt;999,90,IF(C210&gt;499,90,"Min $500"))</f>
        <v>#REF!</v>
      </c>
      <c r="O208" s="62" t="s">
        <v>8</v>
      </c>
      <c r="P208" s="63" t="s">
        <v>9</v>
      </c>
    </row>
    <row r="209" spans="2:16" s="48" customFormat="1" ht="13.8" hidden="1" thickBot="1" x14ac:dyDescent="0.3">
      <c r="B209" s="64" t="s">
        <v>10</v>
      </c>
      <c r="C209" s="65"/>
      <c r="D209" s="66"/>
      <c r="E209" s="64" t="s">
        <v>10</v>
      </c>
      <c r="F209" s="67"/>
      <c r="G209" s="66"/>
      <c r="I209" s="68">
        <v>5</v>
      </c>
      <c r="J209" s="69">
        <v>3</v>
      </c>
      <c r="K209" s="70">
        <v>12</v>
      </c>
      <c r="L209" s="14" t="s">
        <v>37</v>
      </c>
      <c r="M209" s="71" t="e">
        <f>M207*1.15-M207</f>
        <v>#REF!</v>
      </c>
      <c r="N209" s="60" t="s">
        <v>2</v>
      </c>
      <c r="O209" s="72" t="s">
        <v>11</v>
      </c>
      <c r="P209" s="73" t="s">
        <v>8</v>
      </c>
    </row>
    <row r="210" spans="2:16" s="48" customFormat="1" hidden="1" x14ac:dyDescent="0.25">
      <c r="B210" s="4" t="s">
        <v>12</v>
      </c>
      <c r="C210" s="74" t="e">
        <f>#REF!</f>
        <v>#REF!</v>
      </c>
      <c r="D210" s="75"/>
      <c r="E210" s="4" t="s">
        <v>12</v>
      </c>
      <c r="F210" s="74" t="e">
        <f>#REF!</f>
        <v>#REF!</v>
      </c>
      <c r="G210" s="75"/>
      <c r="I210" s="76">
        <v>6</v>
      </c>
      <c r="J210" s="77" t="b">
        <f>IF(I209=1, IF(J209=1, K219, IF(I209=1, IF(J209=2,L219,))))</f>
        <v>0</v>
      </c>
      <c r="K210" s="78">
        <v>18</v>
      </c>
      <c r="L210" s="14" t="s">
        <v>38</v>
      </c>
      <c r="M210" s="71" t="e">
        <f>M207*3/23</f>
        <v>#REF!</v>
      </c>
      <c r="N210" s="60">
        <f>IF(I209=1,6,IF(I209=2,12,IF(I209=3,18,IF(I209=4,24,IF(I209=5,36,IF(I209=6,48,IF(I209=7,60,0)))))))</f>
        <v>36</v>
      </c>
      <c r="O210" s="72" t="s">
        <v>13</v>
      </c>
      <c r="P210" s="73" t="s">
        <v>11</v>
      </c>
    </row>
    <row r="211" spans="2:16" s="48" customFormat="1" hidden="1" x14ac:dyDescent="0.25">
      <c r="B211" s="4" t="s">
        <v>14</v>
      </c>
      <c r="C211" s="79">
        <v>0</v>
      </c>
      <c r="D211" s="80"/>
      <c r="E211" s="4" t="s">
        <v>14</v>
      </c>
      <c r="F211" s="79" t="e">
        <f>IF(#REF!=1,#REF!, IF(#REF!=2,#REF!, IF(#REF!=3,#REF!, IF(#REF!=4,#REF!, IF(#REF!=5,#REF!,0)))))</f>
        <v>#REF!</v>
      </c>
      <c r="G211" s="80"/>
      <c r="I211" s="81">
        <v>12</v>
      </c>
      <c r="J211" s="82" t="b">
        <f>IF(I209=2, IF(J209=1,K220, IF(J209=2, L220, IF(J209=3,M220))))</f>
        <v>0</v>
      </c>
      <c r="K211" s="78">
        <v>24</v>
      </c>
      <c r="L211" s="14" t="s">
        <v>39</v>
      </c>
      <c r="M211" s="83" t="e">
        <f>IF(M208=1,M209, IF(M208=2,M210))</f>
        <v>#REF!</v>
      </c>
      <c r="N211" s="84" t="s">
        <v>15</v>
      </c>
      <c r="O211" s="72" t="s">
        <v>16</v>
      </c>
      <c r="P211" s="73" t="s">
        <v>13</v>
      </c>
    </row>
    <row r="212" spans="2:16" s="48" customFormat="1" ht="13.8" hidden="1" thickBot="1" x14ac:dyDescent="0.3">
      <c r="B212" s="4" t="s">
        <v>17</v>
      </c>
      <c r="C212" s="74">
        <v>0</v>
      </c>
      <c r="D212" s="85"/>
      <c r="E212" s="4" t="s">
        <v>17</v>
      </c>
      <c r="F212" s="74" t="e">
        <f>IF(#REF!=1,F210*F211,0)</f>
        <v>#REF!</v>
      </c>
      <c r="G212" s="85"/>
      <c r="I212" s="81">
        <v>18</v>
      </c>
      <c r="J212" s="82" t="b">
        <f>IF(I209=3, IF(J209=1,K221, IF(J209=2,L221, IF(J209=3,M221, IF(J209=4,N221)))))</f>
        <v>0</v>
      </c>
      <c r="K212" s="86">
        <v>36</v>
      </c>
      <c r="L212" s="15" t="s">
        <v>40</v>
      </c>
      <c r="M212" s="87" t="e">
        <f>IF(M208=1,M207+M209, IF(M208=2,M207))</f>
        <v>#REF!</v>
      </c>
      <c r="N212" s="88">
        <v>1</v>
      </c>
      <c r="O212" s="89" t="s">
        <v>18</v>
      </c>
      <c r="P212" s="73" t="s">
        <v>16</v>
      </c>
    </row>
    <row r="213" spans="2:16" s="48" customFormat="1" ht="13.8" hidden="1" thickBot="1" x14ac:dyDescent="0.3">
      <c r="B213" s="4" t="s">
        <v>4</v>
      </c>
      <c r="C213" s="90" t="e">
        <f>$N$171</f>
        <v>#REF!</v>
      </c>
      <c r="D213" s="85"/>
      <c r="E213" s="4" t="s">
        <v>4</v>
      </c>
      <c r="F213" s="90" t="e">
        <f>N208</f>
        <v>#REF!</v>
      </c>
      <c r="G213" s="85"/>
      <c r="I213" s="81">
        <v>24</v>
      </c>
      <c r="J213" s="82" t="b">
        <f>IF(I209=4,IF(J209=1,K222, IF(J209=2,L222, IF(J209=3,M222, IF(J209=4,N222, IF(J209=5,O222))))))</f>
        <v>0</v>
      </c>
      <c r="O213" s="91"/>
      <c r="P213" s="92" t="s">
        <v>18</v>
      </c>
    </row>
    <row r="214" spans="2:16" s="48" customFormat="1" ht="13.8" hidden="1" thickBot="1" x14ac:dyDescent="0.3">
      <c r="B214" s="5" t="s">
        <v>19</v>
      </c>
      <c r="C214" s="74" t="e">
        <f>C210+C212+C213</f>
        <v>#REF!</v>
      </c>
      <c r="D214" s="93" t="s">
        <v>20</v>
      </c>
      <c r="E214" s="5" t="s">
        <v>19</v>
      </c>
      <c r="F214" s="74" t="e">
        <f>F210+F212+F213</f>
        <v>#REF!</v>
      </c>
      <c r="G214" s="93" t="s">
        <v>20</v>
      </c>
      <c r="I214" s="68">
        <v>36</v>
      </c>
      <c r="J214" s="94">
        <f>IF(I209=5, IF(J209=1,K223, IF(J209=2,L223, IF(J209=3,M223, IF(J209=4,N223, IF(J209=5,O223, IF(J209=6,P223)))))))</f>
        <v>0.10340000000000001</v>
      </c>
    </row>
    <row r="215" spans="2:16" s="48" customFormat="1" ht="13.8" hidden="1" thickBot="1" x14ac:dyDescent="0.3">
      <c r="B215" s="4" t="s">
        <v>21</v>
      </c>
      <c r="C215" s="111" t="e">
        <f>#REF!</f>
        <v>#REF!</v>
      </c>
      <c r="D215" s="93" t="s">
        <v>22</v>
      </c>
      <c r="E215" s="4" t="s">
        <v>21</v>
      </c>
      <c r="F215" s="111" t="e">
        <f>#REF!</f>
        <v>#REF!</v>
      </c>
      <c r="G215" s="93" t="s">
        <v>22</v>
      </c>
      <c r="I215" s="96"/>
      <c r="J215" s="97">
        <f>SUM(J210:J214)</f>
        <v>0.10340000000000001</v>
      </c>
    </row>
    <row r="216" spans="2:16" s="48" customFormat="1" ht="13.8" hidden="1" thickBot="1" x14ac:dyDescent="0.3">
      <c r="B216" s="5" t="s">
        <v>23</v>
      </c>
      <c r="C216" s="98" t="e">
        <f>C214-C215</f>
        <v>#REF!</v>
      </c>
      <c r="D216" s="99" t="s">
        <v>24</v>
      </c>
      <c r="E216" s="5" t="s">
        <v>23</v>
      </c>
      <c r="F216" s="98" t="e">
        <f>F214-F215</f>
        <v>#REF!</v>
      </c>
      <c r="G216" s="99" t="s">
        <v>24</v>
      </c>
      <c r="M216" s="100"/>
    </row>
    <row r="217" spans="2:16" s="48" customFormat="1" ht="13.8" hidden="1" thickBot="1" x14ac:dyDescent="0.3">
      <c r="B217" s="4" t="s">
        <v>25</v>
      </c>
      <c r="C217" s="98" t="e">
        <f>C220-C216</f>
        <v>#REF!</v>
      </c>
      <c r="D217" s="101"/>
      <c r="E217" s="4" t="s">
        <v>25</v>
      </c>
      <c r="F217" s="98" t="e">
        <f>F220-F216</f>
        <v>#REF!</v>
      </c>
      <c r="G217" s="101"/>
      <c r="I217" s="28"/>
      <c r="J217" s="29"/>
      <c r="K217" s="863" t="s">
        <v>28</v>
      </c>
      <c r="L217" s="864"/>
      <c r="M217" s="864"/>
      <c r="N217" s="864"/>
      <c r="O217" s="864"/>
      <c r="P217" s="865"/>
    </row>
    <row r="218" spans="2:16" s="48" customFormat="1" ht="13.8" hidden="1" thickBot="1" x14ac:dyDescent="0.3">
      <c r="B218" s="5" t="s">
        <v>26</v>
      </c>
      <c r="C218" s="102" t="e">
        <f>C221-C216</f>
        <v>#REF!</v>
      </c>
      <c r="D218" s="93" t="s">
        <v>27</v>
      </c>
      <c r="E218" s="5" t="s">
        <v>26</v>
      </c>
      <c r="F218" s="102" t="e">
        <f>F221-F216</f>
        <v>#REF!</v>
      </c>
      <c r="G218" s="93" t="s">
        <v>27</v>
      </c>
      <c r="I218" s="860" t="s">
        <v>2</v>
      </c>
      <c r="J218" s="30"/>
      <c r="K218" s="31" t="s">
        <v>9</v>
      </c>
      <c r="L218" s="32" t="s">
        <v>8</v>
      </c>
      <c r="M218" s="32" t="s">
        <v>11</v>
      </c>
      <c r="N218" s="32" t="s">
        <v>13</v>
      </c>
      <c r="O218" s="32" t="s">
        <v>16</v>
      </c>
      <c r="P218" s="33" t="s">
        <v>18</v>
      </c>
    </row>
    <row r="219" spans="2:16" s="48" customFormat="1" hidden="1" x14ac:dyDescent="0.25">
      <c r="B219" s="4" t="s">
        <v>30</v>
      </c>
      <c r="C219" s="98" t="e">
        <f>C217</f>
        <v>#REF!</v>
      </c>
      <c r="D219" s="101"/>
      <c r="E219" s="4" t="s">
        <v>30</v>
      </c>
      <c r="F219" s="98" t="e">
        <f>F217</f>
        <v>#REF!</v>
      </c>
      <c r="G219" s="101"/>
      <c r="I219" s="861"/>
      <c r="J219" s="34">
        <v>6</v>
      </c>
      <c r="K219" s="37">
        <f t="shared" ref="K219:P223" si="1">K183</f>
        <v>6.4399999999999999E-2</v>
      </c>
      <c r="L219" s="38">
        <f t="shared" si="1"/>
        <v>0</v>
      </c>
      <c r="M219" s="39" t="str">
        <f t="shared" si="1"/>
        <v>-</v>
      </c>
      <c r="N219" s="39" t="str">
        <f t="shared" si="1"/>
        <v>-</v>
      </c>
      <c r="O219" s="39" t="str">
        <f t="shared" si="1"/>
        <v>-</v>
      </c>
      <c r="P219" s="40" t="str">
        <f t="shared" si="1"/>
        <v>-</v>
      </c>
    </row>
    <row r="220" spans="2:16" s="48" customFormat="1" hidden="1" x14ac:dyDescent="0.25">
      <c r="B220" s="5" t="s">
        <v>31</v>
      </c>
      <c r="C220" s="102" t="e">
        <f>C223*N210</f>
        <v>#REF!</v>
      </c>
      <c r="D220" s="93" t="s">
        <v>32</v>
      </c>
      <c r="E220" s="5" t="s">
        <v>31</v>
      </c>
      <c r="F220" s="102" t="e">
        <f>F223*N210</f>
        <v>#REF!</v>
      </c>
      <c r="G220" s="93" t="s">
        <v>32</v>
      </c>
      <c r="I220" s="861"/>
      <c r="J220" s="35">
        <v>12</v>
      </c>
      <c r="K220" s="41">
        <f t="shared" si="1"/>
        <v>0.13039999999999999</v>
      </c>
      <c r="L220" s="42">
        <f t="shared" si="1"/>
        <v>6.0900000000000003E-2</v>
      </c>
      <c r="M220" s="43">
        <f t="shared" si="1"/>
        <v>0</v>
      </c>
      <c r="N220" s="43" t="str">
        <f t="shared" si="1"/>
        <v>-</v>
      </c>
      <c r="O220" s="43" t="str">
        <f t="shared" si="1"/>
        <v>-</v>
      </c>
      <c r="P220" s="44" t="str">
        <f t="shared" si="1"/>
        <v>-</v>
      </c>
    </row>
    <row r="221" spans="2:16" s="48" customFormat="1" hidden="1" x14ac:dyDescent="0.25">
      <c r="B221" s="5" t="s">
        <v>34</v>
      </c>
      <c r="C221" s="74" t="e">
        <f>C220+C215</f>
        <v>#REF!</v>
      </c>
      <c r="D221" s="99" t="s">
        <v>35</v>
      </c>
      <c r="E221" s="5" t="s">
        <v>34</v>
      </c>
      <c r="F221" s="74" t="e">
        <f>F220+F215</f>
        <v>#REF!</v>
      </c>
      <c r="G221" s="99" t="s">
        <v>35</v>
      </c>
      <c r="I221" s="861"/>
      <c r="J221" s="35">
        <v>18</v>
      </c>
      <c r="K221" s="41">
        <f t="shared" si="1"/>
        <v>0.1588</v>
      </c>
      <c r="L221" s="42">
        <f t="shared" si="1"/>
        <v>0.1036</v>
      </c>
      <c r="M221" s="43">
        <f t="shared" si="1"/>
        <v>2.7900000000000001E-2</v>
      </c>
      <c r="N221" s="43">
        <f t="shared" si="1"/>
        <v>0</v>
      </c>
      <c r="O221" s="43" t="str">
        <f t="shared" si="1"/>
        <v>-</v>
      </c>
      <c r="P221" s="44" t="str">
        <f t="shared" si="1"/>
        <v>-</v>
      </c>
    </row>
    <row r="222" spans="2:16" s="48" customFormat="1" hidden="1" x14ac:dyDescent="0.25">
      <c r="B222" s="6" t="s">
        <v>7</v>
      </c>
      <c r="C222" s="105" t="e">
        <f>#REF!</f>
        <v>#REF!</v>
      </c>
      <c r="D222" s="75"/>
      <c r="E222" s="6" t="s">
        <v>7</v>
      </c>
      <c r="F222" s="105">
        <f>F208</f>
        <v>0.10340000000000001</v>
      </c>
      <c r="G222" s="75"/>
      <c r="I222" s="861"/>
      <c r="J222" s="35">
        <v>24</v>
      </c>
      <c r="K222" s="41">
        <f t="shared" si="1"/>
        <v>0.17430000000000001</v>
      </c>
      <c r="L222" s="42">
        <f t="shared" si="1"/>
        <v>0.12959999999999999</v>
      </c>
      <c r="M222" s="43">
        <f t="shared" si="1"/>
        <v>5.9400000000000001E-2</v>
      </c>
      <c r="N222" s="43">
        <f t="shared" si="1"/>
        <v>1.5900000000000001E-2</v>
      </c>
      <c r="O222" s="43">
        <f t="shared" si="1"/>
        <v>0</v>
      </c>
      <c r="P222" s="44" t="str">
        <f t="shared" si="1"/>
        <v>-</v>
      </c>
    </row>
    <row r="223" spans="2:16" s="48" customFormat="1" ht="13.8" hidden="1" thickBot="1" x14ac:dyDescent="0.3">
      <c r="B223" s="7" t="s">
        <v>29</v>
      </c>
      <c r="C223" s="106" t="e">
        <f>PMT(C208/12,N210,-C216)</f>
        <v>#REF!</v>
      </c>
      <c r="D223" s="107"/>
      <c r="E223" s="7" t="s">
        <v>29</v>
      </c>
      <c r="F223" s="106" t="e">
        <f>PMT(F208/12,N210,-F216)</f>
        <v>#REF!</v>
      </c>
      <c r="G223" s="107"/>
      <c r="I223" s="862"/>
      <c r="J223" s="36">
        <v>36</v>
      </c>
      <c r="K223" s="45">
        <f t="shared" si="1"/>
        <v>0.19070000000000001</v>
      </c>
      <c r="L223" s="46">
        <f t="shared" si="1"/>
        <v>0.15890000000000001</v>
      </c>
      <c r="M223" s="47">
        <f t="shared" si="1"/>
        <v>0.10340000000000001</v>
      </c>
      <c r="N223" s="47">
        <f t="shared" si="1"/>
        <v>5.91E-2</v>
      </c>
      <c r="O223" s="47">
        <f t="shared" si="1"/>
        <v>2.69E-2</v>
      </c>
      <c r="P223" s="8">
        <f t="shared" si="1"/>
        <v>0</v>
      </c>
    </row>
    <row r="224" spans="2:16" s="48" customFormat="1" hidden="1" x14ac:dyDescent="0.25">
      <c r="B224" s="11"/>
      <c r="C224" s="112"/>
      <c r="D224" s="112"/>
      <c r="E224" s="112"/>
      <c r="F224" s="112"/>
      <c r="G224" s="112"/>
      <c r="H224" s="108"/>
      <c r="I224" s="13"/>
      <c r="J224" s="13"/>
    </row>
    <row r="225" spans="1:10" x14ac:dyDescent="0.25">
      <c r="A225" s="48"/>
      <c r="B225" s="10"/>
      <c r="C225" s="103"/>
      <c r="D225" s="103"/>
      <c r="E225" s="103"/>
      <c r="F225" s="103"/>
      <c r="G225" s="103"/>
      <c r="H225" s="113"/>
      <c r="I225" s="13"/>
      <c r="J225" s="114"/>
    </row>
    <row r="226" spans="1:10" x14ac:dyDescent="0.25">
      <c r="A226" s="48"/>
      <c r="B226" s="12"/>
      <c r="C226" s="115"/>
      <c r="D226" s="115"/>
      <c r="E226" s="115"/>
      <c r="F226" s="115"/>
      <c r="G226" s="115"/>
      <c r="H226" s="116"/>
      <c r="I226" s="13"/>
      <c r="J226" s="114"/>
    </row>
    <row r="227" spans="1:10" x14ac:dyDescent="0.25">
      <c r="A227" s="48"/>
      <c r="B227" s="10"/>
      <c r="C227" s="117"/>
      <c r="D227" s="117"/>
      <c r="E227" s="117"/>
      <c r="F227" s="117"/>
      <c r="G227" s="117"/>
      <c r="H227" s="118"/>
      <c r="I227" s="13"/>
      <c r="J227" s="114"/>
    </row>
    <row r="228" spans="1:10" x14ac:dyDescent="0.25">
      <c r="A228" s="48"/>
      <c r="B228" s="9"/>
      <c r="C228" s="117"/>
      <c r="D228" s="117"/>
      <c r="E228" s="117"/>
      <c r="F228" s="117"/>
      <c r="G228" s="117"/>
      <c r="H228" s="13"/>
      <c r="I228" s="13"/>
      <c r="J228" s="114"/>
    </row>
    <row r="229" spans="1:10" x14ac:dyDescent="0.25">
      <c r="A229" s="48"/>
      <c r="B229" s="13"/>
      <c r="C229" s="13"/>
      <c r="D229" s="13"/>
      <c r="E229" s="13"/>
      <c r="F229" s="13"/>
      <c r="G229" s="13"/>
      <c r="H229" s="13"/>
      <c r="I229" s="13"/>
      <c r="J229" s="114"/>
    </row>
    <row r="230" spans="1:10" x14ac:dyDescent="0.25">
      <c r="A230" s="48"/>
      <c r="B230" s="48"/>
      <c r="C230" s="48"/>
      <c r="D230" s="48"/>
      <c r="E230" s="48"/>
      <c r="F230" s="48"/>
      <c r="G230" s="48"/>
      <c r="H230" s="48"/>
      <c r="I230" s="48"/>
    </row>
  </sheetData>
  <mergeCells count="15">
    <mergeCell ref="I218:I223"/>
    <mergeCell ref="K217:P217"/>
    <mergeCell ref="K181:P181"/>
    <mergeCell ref="I182:I187"/>
    <mergeCell ref="K199:P199"/>
    <mergeCell ref="I200:I205"/>
    <mergeCell ref="B207:D207"/>
    <mergeCell ref="E207:G207"/>
    <mergeCell ref="I207:J207"/>
    <mergeCell ref="B170:D170"/>
    <mergeCell ref="E170:G170"/>
    <mergeCell ref="B189:D189"/>
    <mergeCell ref="E189:G189"/>
    <mergeCell ref="I170:J170"/>
    <mergeCell ref="I189:J18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autoPageBreaks="0" fitToPage="1"/>
  </sheetPr>
  <dimension ref="A1:AS403"/>
  <sheetViews>
    <sheetView showGridLines="0" showOutlineSymbols="0" zoomScaleNormal="100" workbookViewId="0">
      <selection activeCell="C10" sqref="C10:E13"/>
    </sheetView>
  </sheetViews>
  <sheetFormatPr defaultColWidth="9.109375" defaultRowHeight="13.2" x14ac:dyDescent="0.25"/>
  <cols>
    <col min="1" max="1" width="3.33203125" style="121" customWidth="1"/>
    <col min="2" max="2" width="2.109375" style="121" customWidth="1"/>
    <col min="3" max="3" width="14.5546875" style="121" customWidth="1"/>
    <col min="4" max="4" width="10.6640625" style="121" customWidth="1"/>
    <col min="5" max="5" width="11.6640625" style="121" customWidth="1"/>
    <col min="6" max="6" width="13.6640625" style="121" customWidth="1"/>
    <col min="7" max="7" width="18.88671875" style="121" customWidth="1"/>
    <col min="8" max="8" width="1.5546875" style="121" customWidth="1"/>
    <col min="9" max="9" width="0.33203125" style="121" customWidth="1"/>
    <col min="10" max="10" width="1.5546875" style="121" customWidth="1"/>
    <col min="11" max="18" width="7.44140625" style="121" customWidth="1"/>
    <col min="19" max="19" width="7.44140625" style="196" customWidth="1"/>
    <col min="20" max="24" width="7.44140625" style="121" customWidth="1"/>
    <col min="25" max="25" width="1.44140625" style="121" customWidth="1"/>
    <col min="26" max="26" width="4.109375" style="121" customWidth="1"/>
    <col min="27" max="39" width="7.33203125" style="121" customWidth="1"/>
    <col min="40" max="16384" width="9.109375" style="121"/>
  </cols>
  <sheetData>
    <row r="1" spans="1:35" ht="7.5" customHeight="1" x14ac:dyDescent="0.25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</row>
    <row r="2" spans="1:35" ht="15.75" customHeight="1" x14ac:dyDescent="0.25">
      <c r="A2" s="395"/>
      <c r="B2" s="395"/>
      <c r="C2" s="395"/>
      <c r="D2" s="395"/>
      <c r="E2" s="395"/>
      <c r="F2" s="395"/>
      <c r="G2" s="395"/>
      <c r="H2" s="395"/>
      <c r="I2" s="395"/>
      <c r="J2" s="395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1078" t="s">
        <v>191</v>
      </c>
      <c r="X2" s="1078"/>
      <c r="Y2" s="1078"/>
      <c r="Z2" s="404"/>
      <c r="AA2" s="404"/>
    </row>
    <row r="3" spans="1:35" ht="12" customHeight="1" x14ac:dyDescent="0.25">
      <c r="A3" s="395"/>
      <c r="B3" s="395"/>
      <c r="C3" s="404"/>
      <c r="D3" s="404"/>
      <c r="E3" s="404"/>
      <c r="F3" s="404"/>
      <c r="G3" s="404"/>
      <c r="H3" s="395"/>
      <c r="I3" s="404"/>
      <c r="J3" s="405"/>
      <c r="K3" s="1079" t="s">
        <v>215</v>
      </c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8"/>
      <c r="X3" s="1078"/>
      <c r="Y3" s="1078"/>
      <c r="Z3" s="404"/>
      <c r="AA3" s="404"/>
    </row>
    <row r="4" spans="1:35" ht="12" customHeight="1" x14ac:dyDescent="0.25">
      <c r="A4" s="395"/>
      <c r="B4" s="395"/>
      <c r="C4" s="404"/>
      <c r="D4" s="404"/>
      <c r="E4" s="404"/>
      <c r="F4" s="404"/>
      <c r="G4" s="404"/>
      <c r="H4" s="395"/>
      <c r="I4" s="405"/>
      <c r="J4" s="405"/>
      <c r="K4" s="1079"/>
      <c r="L4" s="1079"/>
      <c r="M4" s="1079"/>
      <c r="N4" s="1079"/>
      <c r="O4" s="1079"/>
      <c r="P4" s="1079"/>
      <c r="Q4" s="1079"/>
      <c r="R4" s="1079"/>
      <c r="S4" s="1079"/>
      <c r="T4" s="1079"/>
      <c r="U4" s="1079"/>
      <c r="V4" s="1079"/>
      <c r="W4" s="1078"/>
      <c r="X4" s="1078"/>
      <c r="Y4" s="1078"/>
      <c r="Z4" s="404"/>
      <c r="AA4" s="404"/>
    </row>
    <row r="5" spans="1:35" ht="12" customHeight="1" x14ac:dyDescent="0.25">
      <c r="A5" s="395"/>
      <c r="B5" s="406"/>
      <c r="C5" s="404"/>
      <c r="D5" s="404"/>
      <c r="E5" s="404"/>
      <c r="F5" s="404"/>
      <c r="G5" s="404"/>
      <c r="H5" s="407"/>
      <c r="I5" s="405"/>
      <c r="J5" s="405"/>
      <c r="K5" s="1079"/>
      <c r="L5" s="1079"/>
      <c r="M5" s="1079"/>
      <c r="N5" s="1079"/>
      <c r="O5" s="1079"/>
      <c r="P5" s="1079"/>
      <c r="Q5" s="1079"/>
      <c r="R5" s="1079"/>
      <c r="S5" s="1079"/>
      <c r="T5" s="1079"/>
      <c r="U5" s="1079"/>
      <c r="V5" s="1079"/>
      <c r="W5" s="1078"/>
      <c r="X5" s="1078"/>
      <c r="Y5" s="1078"/>
      <c r="Z5" s="404"/>
      <c r="AA5" s="404"/>
    </row>
    <row r="6" spans="1:35" ht="13.5" customHeight="1" x14ac:dyDescent="0.25">
      <c r="A6" s="395"/>
      <c r="B6" s="395"/>
      <c r="C6" s="404"/>
      <c r="D6" s="404"/>
      <c r="E6" s="404"/>
      <c r="F6" s="404"/>
      <c r="G6" s="404"/>
      <c r="H6" s="408"/>
      <c r="I6" s="405"/>
      <c r="J6" s="405"/>
      <c r="K6" s="1079"/>
      <c r="L6" s="1079"/>
      <c r="M6" s="1079"/>
      <c r="N6" s="1079"/>
      <c r="O6" s="1079"/>
      <c r="P6" s="1079"/>
      <c r="Q6" s="1079"/>
      <c r="R6" s="1079"/>
      <c r="S6" s="1079"/>
      <c r="T6" s="1079"/>
      <c r="U6" s="1079"/>
      <c r="V6" s="1079"/>
      <c r="W6" s="1078"/>
      <c r="X6" s="1078"/>
      <c r="Y6" s="1078"/>
      <c r="Z6" s="404"/>
      <c r="AA6" s="404"/>
      <c r="AC6" s="370"/>
      <c r="AD6" s="370"/>
      <c r="AE6" s="370"/>
      <c r="AF6" s="370"/>
      <c r="AG6" s="370"/>
      <c r="AH6" s="370"/>
      <c r="AI6" s="370"/>
    </row>
    <row r="7" spans="1:35" ht="13.5" customHeight="1" x14ac:dyDescent="0.25">
      <c r="A7" s="395"/>
      <c r="B7" s="395"/>
      <c r="C7" s="1080" t="s">
        <v>79</v>
      </c>
      <c r="D7" s="1080"/>
      <c r="E7" s="1080"/>
      <c r="F7" s="405"/>
      <c r="G7" s="1080" t="s">
        <v>76</v>
      </c>
      <c r="H7" s="395"/>
      <c r="I7" s="409"/>
      <c r="J7" s="410"/>
      <c r="K7" s="1081"/>
      <c r="L7" s="1081"/>
      <c r="M7" s="1081"/>
      <c r="N7" s="1081"/>
      <c r="O7" s="1081"/>
      <c r="P7" s="1081"/>
      <c r="Q7" s="1081"/>
      <c r="R7" s="1081"/>
      <c r="S7" s="1081"/>
      <c r="T7" s="1081"/>
      <c r="U7" s="1081"/>
      <c r="V7" s="1081"/>
      <c r="W7" s="1081"/>
      <c r="X7" s="1081"/>
      <c r="Y7" s="410"/>
      <c r="Z7" s="404"/>
      <c r="AA7" s="404"/>
      <c r="AC7" s="370"/>
      <c r="AD7" s="370"/>
      <c r="AE7" s="370"/>
      <c r="AF7" s="370"/>
      <c r="AG7" s="370"/>
      <c r="AH7" s="370"/>
      <c r="AI7" s="370"/>
    </row>
    <row r="8" spans="1:35" ht="13.5" customHeight="1" x14ac:dyDescent="0.25">
      <c r="A8" s="395"/>
      <c r="B8" s="395"/>
      <c r="C8" s="1080"/>
      <c r="D8" s="1080"/>
      <c r="E8" s="1080"/>
      <c r="F8" s="405"/>
      <c r="G8" s="1080"/>
      <c r="H8" s="395"/>
      <c r="I8" s="409"/>
      <c r="J8" s="410"/>
      <c r="K8" s="1081"/>
      <c r="L8" s="1081"/>
      <c r="M8" s="1081"/>
      <c r="N8" s="1081"/>
      <c r="O8" s="1081"/>
      <c r="P8" s="1081"/>
      <c r="Q8" s="1081"/>
      <c r="R8" s="1081"/>
      <c r="S8" s="1081"/>
      <c r="T8" s="1081"/>
      <c r="U8" s="1081"/>
      <c r="V8" s="1081"/>
      <c r="W8" s="1081"/>
      <c r="X8" s="1081"/>
      <c r="Y8" s="410"/>
      <c r="Z8" s="404"/>
      <c r="AA8" s="404"/>
      <c r="AC8" s="247"/>
      <c r="AD8" s="119"/>
      <c r="AE8" s="119"/>
      <c r="AF8" s="119"/>
      <c r="AG8" s="119"/>
      <c r="AH8" s="119"/>
      <c r="AI8" s="119"/>
    </row>
    <row r="9" spans="1:35" ht="13.5" customHeight="1" x14ac:dyDescent="0.25">
      <c r="A9" s="395"/>
      <c r="B9" s="395"/>
      <c r="C9" s="1080"/>
      <c r="D9" s="1080"/>
      <c r="E9" s="1080"/>
      <c r="F9" s="405"/>
      <c r="G9" s="1080"/>
      <c r="H9" s="395"/>
      <c r="I9" s="409"/>
      <c r="J9" s="410"/>
      <c r="K9" s="1081"/>
      <c r="L9" s="1081"/>
      <c r="M9" s="1081"/>
      <c r="N9" s="1081"/>
      <c r="O9" s="1081"/>
      <c r="P9" s="1081"/>
      <c r="Q9" s="1081"/>
      <c r="R9" s="1081"/>
      <c r="S9" s="1081"/>
      <c r="T9" s="1081"/>
      <c r="U9" s="1081"/>
      <c r="V9" s="1081"/>
      <c r="W9" s="1081"/>
      <c r="X9" s="1081"/>
      <c r="Y9" s="410"/>
      <c r="Z9" s="404"/>
      <c r="AA9" s="404"/>
      <c r="AC9" s="119"/>
      <c r="AD9" s="119"/>
      <c r="AE9" s="119"/>
      <c r="AF9" s="119"/>
      <c r="AG9" s="119"/>
      <c r="AH9" s="119"/>
      <c r="AI9" s="119"/>
    </row>
    <row r="10" spans="1:35" ht="13.5" customHeight="1" x14ac:dyDescent="0.25">
      <c r="A10" s="395"/>
      <c r="B10" s="395"/>
      <c r="C10" s="1082">
        <v>3000</v>
      </c>
      <c r="D10" s="1012"/>
      <c r="E10" s="1013"/>
      <c r="F10" s="411"/>
      <c r="G10" s="1085">
        <v>0</v>
      </c>
      <c r="H10" s="395"/>
      <c r="I10" s="409"/>
      <c r="J10" s="395"/>
      <c r="K10" s="1088" t="s">
        <v>203</v>
      </c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90"/>
      <c r="Y10" s="412"/>
      <c r="Z10" s="404"/>
      <c r="AA10" s="404"/>
      <c r="AC10" s="119"/>
      <c r="AD10" s="119"/>
      <c r="AE10" s="119"/>
      <c r="AF10" s="119"/>
      <c r="AG10" s="119"/>
      <c r="AH10" s="119"/>
      <c r="AI10" s="119"/>
    </row>
    <row r="11" spans="1:35" ht="13.5" customHeight="1" x14ac:dyDescent="0.25">
      <c r="A11" s="395"/>
      <c r="B11" s="395"/>
      <c r="C11" s="1083"/>
      <c r="D11" s="1015"/>
      <c r="E11" s="1016"/>
      <c r="F11" s="413"/>
      <c r="G11" s="1086"/>
      <c r="H11" s="395"/>
      <c r="I11" s="409"/>
      <c r="J11" s="395"/>
      <c r="K11" s="1091"/>
      <c r="L11" s="1092"/>
      <c r="M11" s="1092"/>
      <c r="N11" s="1092"/>
      <c r="O11" s="1092"/>
      <c r="P11" s="1092"/>
      <c r="Q11" s="1092"/>
      <c r="R11" s="1092"/>
      <c r="S11" s="1092"/>
      <c r="T11" s="1092"/>
      <c r="U11" s="1092"/>
      <c r="V11" s="1092"/>
      <c r="W11" s="1092"/>
      <c r="X11" s="1093"/>
      <c r="Y11" s="395"/>
      <c r="Z11" s="404"/>
      <c r="AA11" s="404"/>
      <c r="AC11" s="119"/>
      <c r="AD11" s="119"/>
      <c r="AE11" s="119"/>
      <c r="AF11" s="119"/>
      <c r="AG11" s="119"/>
      <c r="AH11" s="119"/>
      <c r="AI11" s="119"/>
    </row>
    <row r="12" spans="1:35" ht="13.5" customHeight="1" x14ac:dyDescent="0.25">
      <c r="A12" s="395"/>
      <c r="B12" s="395"/>
      <c r="C12" s="1083"/>
      <c r="D12" s="1015"/>
      <c r="E12" s="1016"/>
      <c r="F12" s="414"/>
      <c r="G12" s="1086"/>
      <c r="H12" s="395"/>
      <c r="I12" s="409"/>
      <c r="J12" s="395"/>
      <c r="K12" s="1091"/>
      <c r="L12" s="1092"/>
      <c r="M12" s="1092"/>
      <c r="N12" s="1092"/>
      <c r="O12" s="1092"/>
      <c r="P12" s="1092"/>
      <c r="Q12" s="1092"/>
      <c r="R12" s="1092"/>
      <c r="S12" s="1092"/>
      <c r="T12" s="1092"/>
      <c r="U12" s="1092"/>
      <c r="V12" s="1092"/>
      <c r="W12" s="1092"/>
      <c r="X12" s="1093"/>
      <c r="Y12" s="415"/>
      <c r="Z12" s="404"/>
      <c r="AA12" s="404"/>
      <c r="AC12" s="119"/>
      <c r="AD12" s="119"/>
      <c r="AE12" s="119"/>
      <c r="AF12" s="119"/>
      <c r="AG12" s="119"/>
      <c r="AH12" s="119"/>
      <c r="AI12" s="119"/>
    </row>
    <row r="13" spans="1:35" ht="13.5" customHeight="1" x14ac:dyDescent="0.25">
      <c r="A13" s="395"/>
      <c r="B13" s="395"/>
      <c r="C13" s="1084"/>
      <c r="D13" s="1018"/>
      <c r="E13" s="1019"/>
      <c r="F13" s="416"/>
      <c r="G13" s="1087"/>
      <c r="H13" s="395"/>
      <c r="I13" s="409"/>
      <c r="J13" s="395"/>
      <c r="K13" s="1091"/>
      <c r="L13" s="1092"/>
      <c r="M13" s="1092"/>
      <c r="N13" s="1092"/>
      <c r="O13" s="1092"/>
      <c r="P13" s="1092"/>
      <c r="Q13" s="1092"/>
      <c r="R13" s="1092"/>
      <c r="S13" s="1092"/>
      <c r="T13" s="1092"/>
      <c r="U13" s="1092"/>
      <c r="V13" s="1092"/>
      <c r="W13" s="1092"/>
      <c r="X13" s="1093"/>
      <c r="Y13" s="419"/>
      <c r="Z13" s="404"/>
      <c r="AA13" s="404"/>
      <c r="AC13" s="119"/>
      <c r="AD13" s="119"/>
      <c r="AE13" s="119"/>
      <c r="AF13" s="119"/>
      <c r="AG13" s="119"/>
      <c r="AH13" s="119"/>
      <c r="AI13" s="119"/>
    </row>
    <row r="14" spans="1:35" ht="13.5" customHeight="1" x14ac:dyDescent="0.25">
      <c r="A14" s="395"/>
      <c r="B14" s="395"/>
      <c r="C14" s="1063" t="s">
        <v>122</v>
      </c>
      <c r="D14" s="1064"/>
      <c r="E14" s="1064"/>
      <c r="F14" s="1064"/>
      <c r="G14" s="1064"/>
      <c r="H14" s="420"/>
      <c r="I14" s="409"/>
      <c r="J14" s="420"/>
      <c r="K14" s="1066" t="s">
        <v>204</v>
      </c>
      <c r="L14" s="1067"/>
      <c r="M14" s="1067"/>
      <c r="N14" s="1067"/>
      <c r="O14" s="1067"/>
      <c r="P14" s="1067"/>
      <c r="Q14" s="1067"/>
      <c r="R14" s="1068"/>
      <c r="S14" s="1068"/>
      <c r="T14" s="1068"/>
      <c r="U14" s="1068"/>
      <c r="V14" s="1068"/>
      <c r="W14" s="1068"/>
      <c r="X14" s="399"/>
      <c r="Y14" s="422"/>
      <c r="Z14" s="404"/>
      <c r="AA14" s="404"/>
      <c r="AC14" s="119"/>
      <c r="AD14" s="119"/>
      <c r="AE14" s="119"/>
      <c r="AF14" s="119"/>
      <c r="AG14" s="119"/>
      <c r="AH14" s="119"/>
      <c r="AI14" s="119"/>
    </row>
    <row r="15" spans="1:35" ht="13.5" customHeight="1" x14ac:dyDescent="0.25">
      <c r="A15" s="395"/>
      <c r="B15" s="395"/>
      <c r="C15" s="1065"/>
      <c r="D15" s="1065"/>
      <c r="E15" s="1065"/>
      <c r="F15" s="1065"/>
      <c r="G15" s="1065"/>
      <c r="H15" s="395"/>
      <c r="I15" s="409"/>
      <c r="J15" s="395"/>
      <c r="K15" s="1066"/>
      <c r="L15" s="1067"/>
      <c r="M15" s="1067"/>
      <c r="N15" s="1067"/>
      <c r="O15" s="1067"/>
      <c r="P15" s="1067"/>
      <c r="Q15" s="1067"/>
      <c r="R15" s="1068"/>
      <c r="S15" s="1068"/>
      <c r="T15" s="1068"/>
      <c r="U15" s="1068"/>
      <c r="V15" s="1068"/>
      <c r="W15" s="1068"/>
      <c r="X15" s="425"/>
      <c r="Y15" s="422"/>
      <c r="Z15" s="404"/>
      <c r="AA15" s="404"/>
      <c r="AC15" s="119"/>
      <c r="AD15" s="119"/>
      <c r="AE15" s="119"/>
      <c r="AF15" s="119"/>
      <c r="AG15" s="119"/>
      <c r="AH15" s="119"/>
      <c r="AI15" s="119"/>
    </row>
    <row r="16" spans="1:35" ht="13.5" customHeight="1" x14ac:dyDescent="0.25">
      <c r="A16" s="395"/>
      <c r="B16" s="395"/>
      <c r="C16" s="1069" t="s">
        <v>139</v>
      </c>
      <c r="D16" s="1070"/>
      <c r="E16" s="1071" t="s">
        <v>200</v>
      </c>
      <c r="F16" s="1071"/>
      <c r="G16" s="1072"/>
      <c r="H16" s="395"/>
      <c r="I16" s="409"/>
      <c r="J16" s="395"/>
      <c r="K16" s="630"/>
      <c r="L16" s="423"/>
      <c r="M16" s="423"/>
      <c r="N16" s="423"/>
      <c r="O16" s="423"/>
      <c r="P16" s="423"/>
      <c r="Q16" s="423"/>
      <c r="R16" s="395"/>
      <c r="S16" s="421"/>
      <c r="T16" s="423"/>
      <c r="U16" s="423"/>
      <c r="V16" s="423"/>
      <c r="W16" s="424"/>
      <c r="X16" s="425"/>
      <c r="Y16" s="422"/>
      <c r="Z16" s="404"/>
      <c r="AA16" s="404"/>
      <c r="AC16" s="119"/>
      <c r="AD16" s="119"/>
      <c r="AE16" s="119"/>
      <c r="AF16" s="119"/>
      <c r="AG16" s="119"/>
      <c r="AH16" s="119"/>
      <c r="AI16" s="119"/>
    </row>
    <row r="17" spans="1:35" ht="13.5" customHeight="1" x14ac:dyDescent="0.25">
      <c r="A17" s="395"/>
      <c r="B17" s="395"/>
      <c r="C17" s="1051"/>
      <c r="D17" s="1052"/>
      <c r="E17" s="1073"/>
      <c r="F17" s="1073"/>
      <c r="G17" s="1074"/>
      <c r="H17" s="418"/>
      <c r="I17" s="409"/>
      <c r="J17" s="418"/>
      <c r="K17" s="1075" t="s">
        <v>195</v>
      </c>
      <c r="L17" s="1076"/>
      <c r="M17" s="1076"/>
      <c r="N17" s="1076"/>
      <c r="O17" s="1076"/>
      <c r="P17" s="1076"/>
      <c r="Q17" s="1076"/>
      <c r="R17" s="1076"/>
      <c r="S17" s="1076"/>
      <c r="T17" s="1076"/>
      <c r="U17" s="1076"/>
      <c r="V17" s="1076"/>
      <c r="W17" s="1076"/>
      <c r="X17" s="1077"/>
      <c r="Y17" s="422"/>
      <c r="Z17" s="404"/>
      <c r="AA17" s="404"/>
      <c r="AC17" s="119"/>
      <c r="AD17" s="119"/>
      <c r="AE17" s="119"/>
      <c r="AF17" s="119"/>
      <c r="AG17" s="119"/>
      <c r="AH17" s="119"/>
      <c r="AI17" s="119"/>
    </row>
    <row r="18" spans="1:35" ht="13.5" customHeight="1" x14ac:dyDescent="0.25">
      <c r="A18" s="395"/>
      <c r="B18" s="426"/>
      <c r="C18" s="1051" t="s">
        <v>140</v>
      </c>
      <c r="D18" s="1052"/>
      <c r="E18" s="1052" t="s">
        <v>199</v>
      </c>
      <c r="F18" s="1052"/>
      <c r="G18" s="1055"/>
      <c r="H18" s="412"/>
      <c r="I18" s="409"/>
      <c r="J18" s="412"/>
      <c r="K18" s="1057"/>
      <c r="L18" s="1058"/>
      <c r="M18" s="1058"/>
      <c r="N18" s="1058"/>
      <c r="O18" s="1058"/>
      <c r="P18" s="1058"/>
      <c r="Q18" s="1058"/>
      <c r="R18" s="1058"/>
      <c r="S18" s="1058"/>
      <c r="T18" s="1058"/>
      <c r="U18" s="1058"/>
      <c r="V18" s="1058"/>
      <c r="W18" s="1058"/>
      <c r="X18" s="1059"/>
      <c r="Y18" s="422"/>
      <c r="Z18" s="404"/>
      <c r="AA18" s="404"/>
      <c r="AC18" s="119"/>
      <c r="AD18" s="119"/>
      <c r="AE18" s="119"/>
      <c r="AF18" s="119"/>
      <c r="AG18" s="119"/>
      <c r="AH18" s="119"/>
      <c r="AI18" s="119"/>
    </row>
    <row r="19" spans="1:35" ht="13.5" customHeight="1" x14ac:dyDescent="0.25">
      <c r="A19" s="395"/>
      <c r="B19" s="426"/>
      <c r="C19" s="1053"/>
      <c r="D19" s="1054"/>
      <c r="E19" s="1054"/>
      <c r="F19" s="1054"/>
      <c r="G19" s="1056"/>
      <c r="H19" s="395"/>
      <c r="I19" s="409"/>
      <c r="J19" s="395"/>
      <c r="K19" s="1060" t="str">
        <f>IF(C364=1,C355, IF(C364=2,C356,IF(C364=3,C357,IF(C364=4,C358,IF(C364=5,C359)))))</f>
        <v xml:space="preserve"> Level 2      ( .5% Rebates to -2.5% Retentions )</v>
      </c>
      <c r="L19" s="1060"/>
      <c r="M19" s="1060"/>
      <c r="N19" s="1060"/>
      <c r="O19" s="1060"/>
      <c r="P19" s="1060"/>
      <c r="Q19" s="1060"/>
      <c r="R19" s="1060"/>
      <c r="S19" s="1060"/>
      <c r="T19" s="1060"/>
      <c r="U19" s="1060"/>
      <c r="V19" s="1060"/>
      <c r="W19" s="1060"/>
      <c r="X19" s="1060"/>
      <c r="Y19" s="422"/>
      <c r="Z19" s="404"/>
      <c r="AA19" s="404"/>
      <c r="AC19" s="119"/>
      <c r="AD19" s="119"/>
      <c r="AE19" s="119"/>
      <c r="AF19" s="119"/>
      <c r="AG19" s="119"/>
      <c r="AH19" s="119"/>
      <c r="AI19" s="119"/>
    </row>
    <row r="20" spans="1:35" ht="13.5" customHeight="1" x14ac:dyDescent="0.25">
      <c r="A20" s="395"/>
      <c r="B20" s="395"/>
      <c r="C20" s="1061" t="s">
        <v>198</v>
      </c>
      <c r="D20" s="1061"/>
      <c r="E20" s="1061"/>
      <c r="F20" s="1061"/>
      <c r="G20" s="1061"/>
      <c r="H20" s="395"/>
      <c r="I20" s="409"/>
      <c r="J20" s="395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1060"/>
      <c r="X20" s="1060"/>
      <c r="Y20" s="395"/>
      <c r="Z20" s="404"/>
      <c r="AA20" s="404"/>
      <c r="AC20" s="119"/>
      <c r="AD20" s="119"/>
      <c r="AE20" s="119"/>
      <c r="AF20" s="119"/>
      <c r="AG20" s="119"/>
      <c r="AH20" s="119"/>
      <c r="AI20" s="119"/>
    </row>
    <row r="21" spans="1:35" ht="13.5" customHeight="1" x14ac:dyDescent="0.25">
      <c r="A21" s="395"/>
      <c r="B21" s="395"/>
      <c r="C21" s="1062"/>
      <c r="D21" s="1062"/>
      <c r="E21" s="1062"/>
      <c r="F21" s="1062"/>
      <c r="G21" s="1062"/>
      <c r="H21" s="393"/>
      <c r="I21" s="409"/>
      <c r="J21" s="393"/>
      <c r="K21" s="1060"/>
      <c r="L21" s="1060"/>
      <c r="M21" s="1060"/>
      <c r="N21" s="1060"/>
      <c r="O21" s="1060"/>
      <c r="P21" s="1060"/>
      <c r="Q21" s="1060"/>
      <c r="R21" s="1060"/>
      <c r="S21" s="1060"/>
      <c r="T21" s="1060"/>
      <c r="U21" s="1060"/>
      <c r="V21" s="1060"/>
      <c r="W21" s="1060"/>
      <c r="X21" s="1060"/>
      <c r="Y21" s="395"/>
      <c r="Z21" s="404"/>
      <c r="AA21" s="404"/>
    </row>
    <row r="22" spans="1:35" ht="13.5" customHeight="1" x14ac:dyDescent="0.25">
      <c r="A22" s="395"/>
      <c r="B22" s="395"/>
      <c r="C22" s="1043" t="str">
        <f xml:space="preserve"> IF(C351=1,D348, IF(C351=2,D349, IF(C351=3,D350)))</f>
        <v>Weekly Repayments</v>
      </c>
      <c r="D22" s="1044"/>
      <c r="E22" s="1044"/>
      <c r="F22" s="1044"/>
      <c r="G22" s="1049">
        <f xml:space="preserve"> IF(C351=1,F351*12/52, IF(C351=2,F351*12/52*2, IF(C351=3,F351)))</f>
        <v>122.69</v>
      </c>
      <c r="H22" s="393"/>
      <c r="I22" s="409"/>
      <c r="J22" s="393"/>
      <c r="K22" s="1034" t="str">
        <f>IF(C364=1,AA303, IF(C364=2,AA316, IF(C364=3,AA329, IF(C364=4,AA342, IF(C364=5,AA355, IF(C364=6,K355, IF(C364=7,K368, IF(C364=8,K381, IF(C364=9,AA368)))))))))</f>
        <v>6 Month Payment Term with 2 Months 0% Interest</v>
      </c>
      <c r="L22" s="1035"/>
      <c r="M22" s="1035"/>
      <c r="N22" s="1035"/>
      <c r="O22" s="1035"/>
      <c r="P22" s="1035"/>
      <c r="Q22" s="1035"/>
      <c r="R22" s="1034" t="str">
        <f>IF(C364=1,AH303, IF(C364=2,AH316, IF(C364=3,AH329, IF(C364=4,AH342, IF(C364=5,AH355, IF(C364=6,R355, IF(C364=7,R368, IF(C364=8,R381, IF(C364=9,AH368)))))))))</f>
        <v>24 Month Payment Term with 4 Months 0% Interest</v>
      </c>
      <c r="S22" s="1035"/>
      <c r="T22" s="1035"/>
      <c r="U22" s="1035"/>
      <c r="V22" s="1035"/>
      <c r="W22" s="1035"/>
      <c r="X22" s="1038"/>
      <c r="Y22" s="395"/>
      <c r="Z22" s="404"/>
      <c r="AA22" s="404"/>
    </row>
    <row r="23" spans="1:35" ht="13.5" customHeight="1" x14ac:dyDescent="0.25">
      <c r="A23" s="395"/>
      <c r="B23" s="395"/>
      <c r="C23" s="1045"/>
      <c r="D23" s="1046"/>
      <c r="E23" s="1046"/>
      <c r="F23" s="1046"/>
      <c r="G23" s="1050"/>
      <c r="H23" s="412"/>
      <c r="I23" s="409"/>
      <c r="J23" s="412"/>
      <c r="K23" s="1036"/>
      <c r="L23" s="1037"/>
      <c r="M23" s="1037"/>
      <c r="N23" s="1037"/>
      <c r="O23" s="1037"/>
      <c r="P23" s="1037"/>
      <c r="Q23" s="1037"/>
      <c r="R23" s="1036"/>
      <c r="S23" s="1037"/>
      <c r="T23" s="1037"/>
      <c r="U23" s="1037"/>
      <c r="V23" s="1037"/>
      <c r="W23" s="1037"/>
      <c r="X23" s="1039"/>
      <c r="Y23" s="395"/>
      <c r="Z23" s="404"/>
      <c r="AA23" s="404"/>
    </row>
    <row r="24" spans="1:35" ht="13.5" customHeight="1" x14ac:dyDescent="0.25">
      <c r="A24" s="395"/>
      <c r="B24" s="395"/>
      <c r="C24" s="1043" t="s">
        <v>112</v>
      </c>
      <c r="D24" s="1044"/>
      <c r="E24" s="1044"/>
      <c r="F24" s="1044"/>
      <c r="G24" s="1049">
        <f>$D$313</f>
        <v>238.18</v>
      </c>
      <c r="H24" s="412"/>
      <c r="I24" s="409"/>
      <c r="J24" s="412"/>
      <c r="K24" s="391"/>
      <c r="L24" s="1024" t="str">
        <f>IF(C364=1,AB304, IF(C364=2,AB317, IF(C364=3,AB330, IF(C364=4,AB343, IF(C364=5,AB356, IF(C364=6,L356, IF(C364=7,L369, IF(C364=8,L382, IF(C364=9,AB369)))))))))</f>
        <v>.</v>
      </c>
      <c r="M24" s="1025"/>
      <c r="N24" s="1025"/>
      <c r="O24" s="392" t="str">
        <f>IF(C364=1,AE304, IF(C364=2,AE317, IF(C364=3,AE330, IF(C364=4,AE343, IF(C364=5,AE356, IF(C364=6,O356, IF(C364=7,O369, IF(C364=8,O382, IF(C364=9,AE369)))))))))</f>
        <v>.</v>
      </c>
      <c r="P24" s="393" t="str">
        <f>IF(C364=1,AF304, IF(C364=2,AF317, IF(C364=3,AF330, IF(C364=4,AF343, IF(C364=5,AF356, IF(C364=6,P356, IF(C364=7,P369, IF(C364=8,P382, IF(C364=9,AF369)))))))))</f>
        <v>.</v>
      </c>
      <c r="Q24" s="394"/>
      <c r="R24" s="391"/>
      <c r="S24" s="1024" t="str">
        <f>IF(C364=1,AI304, IF(C364=2,AI317, IF(C364=3,AI330, IF(C364=4,AI343, IF(C364=5,AI356, IF(C364=6,S356, IF(C364=7,S369, IF(C364=8,S382, IF(C364=9,AI369)))))))))</f>
        <v>.</v>
      </c>
      <c r="T24" s="1025"/>
      <c r="U24" s="1025"/>
      <c r="V24" s="392" t="str">
        <f>IF(C364=1,AL304, IF(C364=2,AL317, IF(C364=3,AL330, IF(C364=4,AL343, IF(C364=5,AL356, IF(C364=6,V356, IF(C364=7,V369, IF(C364=8,V382, IF(C364=9,AL369)))))))))</f>
        <v>.</v>
      </c>
      <c r="W24" s="393" t="str">
        <f>IF(C364=1,AM304, IF(C364=2,AM317, IF(C364=3,AM330, IF(C364=4,AM343, IF(C364=5,AM356, IF(C364=6,W356, IF(C364=7,W369, IF(C364=8,W382, IF(C364=9,AM369)))))))))</f>
        <v>.</v>
      </c>
      <c r="X24" s="394"/>
      <c r="Y24" s="395"/>
      <c r="Z24" s="404"/>
      <c r="AA24" s="404"/>
    </row>
    <row r="25" spans="1:35" ht="13.5" customHeight="1" x14ac:dyDescent="0.25">
      <c r="A25" s="395"/>
      <c r="B25" s="395"/>
      <c r="C25" s="1045"/>
      <c r="D25" s="1046"/>
      <c r="E25" s="1046"/>
      <c r="F25" s="1046"/>
      <c r="G25" s="1050"/>
      <c r="H25" s="427"/>
      <c r="I25" s="409"/>
      <c r="J25" s="427"/>
      <c r="K25" s="391"/>
      <c r="L25" s="1024" t="str">
        <f>IF(C364=1,AB305,IF(C364=2,AB318,IF(C364=3,AB331,IF(C364=4,AB344,IF(C364=5,L383,IF(C364=6,L357,IF(C364=7,L370,IF(C364=8,AB357,IF(C364=9,AB370)))))))))</f>
        <v>$500 to $25,000</v>
      </c>
      <c r="M25" s="1025"/>
      <c r="N25" s="1025"/>
      <c r="O25" s="392">
        <f>IF(C364=1,AE305, IF(C364=2,AE318, IF(C364=3,AE331, IF(C364=4,AE344, IF(C364=5,AE357, IF(C364=6,O357, IF(C364=7,O370, IF(C364=8,O383, IF(C364=9,AE370)))))))))</f>
        <v>-2.5000000000000001E-2</v>
      </c>
      <c r="P25" s="393" t="str">
        <f>IF(C364=1,AF305, IF(C364=2,AF318, IF(C364=3,AF331, IF(C364=4,AF344, IF(C364=5,AF357, IF(C364=6,P357, IF(C364=7,P370, IF(C364=8,P383, IF(C364=9,AF370)))))))))</f>
        <v>Retention</v>
      </c>
      <c r="Q25" s="395"/>
      <c r="R25" s="391"/>
      <c r="S25" s="1024" t="str">
        <f>IF(C364=1,AI305, IF(C364=2,AI318, IF(C364=3,AI331, IF(C364=4,AI344, IF(C364=5,AI357, IF(C364=6,S357, IF(C364=7,S370, IF(C364=8,S383, IF(C364=9,AI370)))))))))</f>
        <v>$500 to $25,000</v>
      </c>
      <c r="T25" s="1025"/>
      <c r="U25" s="1025"/>
      <c r="V25" s="392">
        <f>IF(C364=1,AL305, IF(C364=2,AL318, IF(C364=3,AL331, IF(C364=4,AL344, IF(C364=5,AL357, IF(C364=6,V357, IF(C364=7,V370, IF(C364=8,V383, IF(C364=9,AL370)))))))))</f>
        <v>0</v>
      </c>
      <c r="W25" s="393" t="str">
        <f>IF(C364=1,AM305, IF(C364=2,AM318, IF(C364=3,AM331, IF(C364=4,AM344, IF(C364=5,AM357, IF(C364=6,W357, IF(C364=7,W370, IF(C364=8,W383, IF(C364=9,AM370)))))))))</f>
        <v>No Cost</v>
      </c>
      <c r="X25" s="396"/>
      <c r="Y25" s="428"/>
      <c r="Z25" s="404"/>
      <c r="AA25" s="404"/>
    </row>
    <row r="26" spans="1:35" ht="13.5" customHeight="1" x14ac:dyDescent="0.25">
      <c r="A26" s="395"/>
      <c r="B26" s="395"/>
      <c r="C26" s="1043" t="str">
        <f>IF(F324&lt;3,"N/A",IF(F324&gt;2,"Subsidised Rate and Interest Total"))</f>
        <v>Subsidised Rate and Interest Total</v>
      </c>
      <c r="D26" s="1044"/>
      <c r="E26" s="1044"/>
      <c r="F26" s="1047">
        <f>IF(F324=1,"N/A",IF(F324=2,"N/A",IF(F324=3,"0%",G326)))</f>
        <v>0.1042</v>
      </c>
      <c r="G26" s="1049">
        <f>IF(F324&lt;4,"N/A",F313)</f>
        <v>66.52</v>
      </c>
      <c r="H26" s="395"/>
      <c r="I26" s="409"/>
      <c r="J26" s="395"/>
      <c r="K26" s="391"/>
      <c r="L26" s="1024" t="str">
        <f>IF(C364=1,AB306, IF(C364=2,AB319, IF(C364=3,AB332, IF(C364=4,AB345, IF(C364=5,AB358, IF(C364=6,L358, IF(C364=7,L371, IF(C364=8,L384, IF(C364=9,AB371)))))))))</f>
        <v>.</v>
      </c>
      <c r="M26" s="1025"/>
      <c r="N26" s="1025"/>
      <c r="O26" s="392" t="str">
        <f>IF(C364=1,AE306, IF(C364=2,AE319, IF(C364=3,AE332, IF(C364=4,AE345, IF(C364=5,AE358, IF(C364=6,O358, IF(C364=7,O371, IF(C364=8,O384, IF(C364=9,AE371)))))))))</f>
        <v>.</v>
      </c>
      <c r="P26" s="393" t="str">
        <f>IF(C364=1,AF306, IF(C364=2,AF319, IF(C364=3,AF332, IF(C364=4,AF345, IF(C364=5,AF358, IF(C364=6,P358, IF(C364=7,P371, IF(C364=8,P384, IF(C364=9,AF371)))))))))</f>
        <v>.</v>
      </c>
      <c r="Q26" s="395"/>
      <c r="R26" s="391"/>
      <c r="S26" s="1024" t="str">
        <f>IF(C364=1,AI306, IF(C364=2,AI319, IF(C364=3,AI332, IF(C364=4,AI345, IF(C364=5,AI358, IF(C364=6,S358, IF(C364=7,S371, IF(C364=8,S384, IF(C364=9,AI371)))))))))</f>
        <v>.</v>
      </c>
      <c r="T26" s="1025"/>
      <c r="U26" s="1025"/>
      <c r="V26" s="392" t="str">
        <f>IF(C364=1,AL306, IF(C364=2,AL319, IF(C364=3,AL332, IF(C364=4,AL345, IF(C364=5,AL358, IF(C364=6,V358, IF(C364=7,V371, IF(C364=8,V384, IF(C364=9,AL371)))))))))</f>
        <v>.</v>
      </c>
      <c r="W26" s="393" t="str">
        <f>IF(C364=1,AM306, IF(C364=2,AM319, IF(C364=3,AM332, IF(C364=4,AM345, IF(C364=5,AM358, IF(C364=6,W358, IF(C364=7,W371, IF(C364=8,W384, IF(C364=9,AM371)))))))))</f>
        <v>.</v>
      </c>
      <c r="X26" s="394"/>
      <c r="Y26" s="395"/>
      <c r="Z26" s="404"/>
      <c r="AA26" s="404"/>
    </row>
    <row r="27" spans="1:35" ht="13.5" customHeight="1" x14ac:dyDescent="0.25">
      <c r="A27" s="395"/>
      <c r="B27" s="395"/>
      <c r="C27" s="1045"/>
      <c r="D27" s="1046"/>
      <c r="E27" s="1046"/>
      <c r="F27" s="1048"/>
      <c r="G27" s="1050"/>
      <c r="H27" s="395"/>
      <c r="I27" s="409"/>
      <c r="J27" s="395"/>
      <c r="K27" s="391"/>
      <c r="L27" s="397"/>
      <c r="M27" s="397"/>
      <c r="N27" s="397"/>
      <c r="O27" s="397"/>
      <c r="P27" s="397"/>
      <c r="Q27" s="397"/>
      <c r="R27" s="398"/>
      <c r="S27" s="397"/>
      <c r="T27" s="397"/>
      <c r="U27" s="397"/>
      <c r="V27" s="397"/>
      <c r="W27" s="397"/>
      <c r="X27" s="399"/>
      <c r="Y27" s="395"/>
      <c r="Z27" s="404"/>
      <c r="AA27" s="404"/>
    </row>
    <row r="28" spans="1:35" ht="13.5" customHeight="1" x14ac:dyDescent="0.25">
      <c r="A28" s="395"/>
      <c r="B28" s="395"/>
      <c r="C28" s="1043" t="str">
        <f>IF(F324&gt;2,"Interest Savings (Your Client Saves)","N/A")</f>
        <v>Interest Savings (Your Client Saves)</v>
      </c>
      <c r="D28" s="1044"/>
      <c r="E28" s="1044"/>
      <c r="F28" s="1044"/>
      <c r="G28" s="1049">
        <f>IF(F324&gt;2,$G$332,"N/A")</f>
        <v>171.66</v>
      </c>
      <c r="H28" s="395"/>
      <c r="I28" s="409"/>
      <c r="J28" s="395"/>
      <c r="K28" s="1034" t="str">
        <f>IF(C364=1,AA307, IF(C364=2,AA320, IF(C364=3,AA333, IF(C364=4,AA346, IF(C364=5,AA359, IF(C364=6,K359, IF(C364=7,K372, IF(C364=8,K385, IF(C364=9,AA372)))))))))</f>
        <v>12 Month Payment Term with 2 Months 0% Interest</v>
      </c>
      <c r="L28" s="1035"/>
      <c r="M28" s="1035"/>
      <c r="N28" s="1035"/>
      <c r="O28" s="1035"/>
      <c r="P28" s="1035"/>
      <c r="Q28" s="1035"/>
      <c r="R28" s="1034" t="str">
        <f>IF(C364=1,AH307, IF(C364=2,AH320, IF(C364=3,AH333, IF(C364=4,AH346, IF(C364=5,AH359, IF(C364=6,R359, IF(C364=7,R372, IF(C364=8,R385, IF(C364=9,AH372)))))))))</f>
        <v>36 Month Payment Term with 6 Months 0% Interest</v>
      </c>
      <c r="S28" s="1035"/>
      <c r="T28" s="1035"/>
      <c r="U28" s="1035"/>
      <c r="V28" s="1035"/>
      <c r="W28" s="1035"/>
      <c r="X28" s="1038"/>
      <c r="Y28" s="395"/>
      <c r="Z28" s="404"/>
      <c r="AA28" s="404"/>
    </row>
    <row r="29" spans="1:35" ht="13.5" customHeight="1" x14ac:dyDescent="0.25">
      <c r="A29" s="395"/>
      <c r="B29" s="395"/>
      <c r="C29" s="1045"/>
      <c r="D29" s="1046"/>
      <c r="E29" s="1046"/>
      <c r="F29" s="1046"/>
      <c r="G29" s="1050"/>
      <c r="H29" s="395"/>
      <c r="I29" s="409"/>
      <c r="J29" s="395"/>
      <c r="K29" s="1036"/>
      <c r="L29" s="1037"/>
      <c r="M29" s="1037"/>
      <c r="N29" s="1037"/>
      <c r="O29" s="1037"/>
      <c r="P29" s="1037"/>
      <c r="Q29" s="1037"/>
      <c r="R29" s="1036"/>
      <c r="S29" s="1037"/>
      <c r="T29" s="1037"/>
      <c r="U29" s="1037"/>
      <c r="V29" s="1037"/>
      <c r="W29" s="1037"/>
      <c r="X29" s="1039"/>
      <c r="Y29" s="395"/>
      <c r="Z29" s="404"/>
      <c r="AA29" s="404"/>
    </row>
    <row r="30" spans="1:35" ht="13.5" customHeight="1" x14ac:dyDescent="0.25">
      <c r="A30" s="395"/>
      <c r="B30" s="395"/>
      <c r="C30" s="1041" t="s">
        <v>123</v>
      </c>
      <c r="D30" s="1041"/>
      <c r="E30" s="1041"/>
      <c r="F30" s="1041"/>
      <c r="G30" s="1041"/>
      <c r="H30" s="395"/>
      <c r="I30" s="409"/>
      <c r="J30" s="395"/>
      <c r="K30" s="391"/>
      <c r="L30" s="1024" t="str">
        <f>IF(C364=1,AB308, IF(C364=2,AB321, IF(C364=3,AB334, IF(C364=4,AB347, IF(C364=5,AB360, IF(C364=6,L360, IF(C364=7,L373, IF(C364=8,L386, IF(C364=9,AB373)))))))))</f>
        <v>.</v>
      </c>
      <c r="M30" s="1025"/>
      <c r="N30" s="1025"/>
      <c r="O30" s="392" t="str">
        <f>IF(C364=1,AE308, IF(C364=2,AE321, IF(C364=3,AE334, IF(C364=4,AE347, IF(C364=5,AE360, IF(C364=6,O360, IF(C364=7,O373, IF(C364=8,O386, IF(C364=9,AE373)))))))))</f>
        <v>.</v>
      </c>
      <c r="P30" s="393" t="str">
        <f>IF(C364=1,AF308, IF(C364=2,AF321, IF(C364=3,AF334, IF(C364=4,AF347, IF(C364=5,AF360, IF(C364=6,P360, IF(C364=7,P373, IF(C364=8,P386, IF(C364=9,AF373)))))))))</f>
        <v>.</v>
      </c>
      <c r="Q30" s="394"/>
      <c r="R30" s="391"/>
      <c r="S30" s="1024" t="str">
        <f>IF(C364=1,AI308, IF(C364=2,AI321, IF(C364=3,AI334, IF(C364=4,AI347, IF(C364=5,AI360, IF(C364=6,S360, IF(C364=7,S373, IF(C364=8,S386, IF(C364=9,AI373)))))))))</f>
        <v>.</v>
      </c>
      <c r="T30" s="1025"/>
      <c r="U30" s="1025"/>
      <c r="V30" s="392" t="str">
        <f>IF(C364=1,AL308, IF(C364=2,AL321, IF(C364=3,AL334, IF(C364=4,AL347, IF(C364=5,AL360, IF(C364=6,V360, IF(C364=7,V373, IF(C364=8,V386, IF(C364=9,AL373)))))))))</f>
        <v>.</v>
      </c>
      <c r="W30" s="393" t="str">
        <f>IF(C364=1,AM308, IF(C364=2,AM321, IF(C364=3,AM334, IF(C364=4,AM347, IF(C364=5,AM360, IF(C364=6,W360, IF(C364=7,W373, IF(C364=8,W386, IF(C364=9,AM373)))))))))</f>
        <v>.</v>
      </c>
      <c r="X30" s="399"/>
      <c r="Y30" s="395"/>
      <c r="Z30" s="404"/>
      <c r="AA30" s="404"/>
    </row>
    <row r="31" spans="1:35" ht="13.5" customHeight="1" x14ac:dyDescent="0.25">
      <c r="A31" s="395"/>
      <c r="B31" s="395"/>
      <c r="C31" s="1041"/>
      <c r="D31" s="1041"/>
      <c r="E31" s="1041"/>
      <c r="F31" s="1041"/>
      <c r="G31" s="1041"/>
      <c r="H31" s="395"/>
      <c r="I31" s="409"/>
      <c r="J31" s="395"/>
      <c r="K31" s="391"/>
      <c r="L31" s="1024" t="str">
        <f>IF(C364=1,AB309, IF(C364=2,AB322, IF(C364=3,AB335, IF(C364=4,AB348, IF(C364=5,AB361, IF(C364=6,L361, IF(C364=7,L374, IF(C364=8,L387, IF(C364=9,AB374)))))))))</f>
        <v>$500 to $25,000</v>
      </c>
      <c r="M31" s="1025"/>
      <c r="N31" s="1025"/>
      <c r="O31" s="392">
        <f>IF(C364=1,AE309, IF(C364=2,AE322, IF(C364=3,AE335, IF(C364=4,AE348, IF(C364=5,AE361, IF(C364=6,O361, IF(C364=7,O374, IF(C364=8,O387, IF(C364=9,AE374)))))))))</f>
        <v>0</v>
      </c>
      <c r="P31" s="393" t="str">
        <f>IF(C364=1,AF309, IF(C364=2,AF322, IF(C364=3,AF335, IF(C364=4,AF348, IF(C364=5,AF361, IF(C364=6,P361, IF(C364=7,P374, IF(C364=8,P387, IF(C364=9,AF374)))))))))</f>
        <v>No Cost</v>
      </c>
      <c r="Q31" s="395"/>
      <c r="R31" s="391"/>
      <c r="S31" s="1024" t="str">
        <f>IF(C364=1,AI309, IF(C364=2,AI322, IF(C364=3,AI335, IF(C364=4,AI348, IF(C364=5,AI361, IF(C364=6,S361, IF(C364=7,S374, IF(C364=8,S387, IF(C364=9,AI374)))))))))</f>
        <v>$500 to $6,000</v>
      </c>
      <c r="T31" s="1025"/>
      <c r="U31" s="1025"/>
      <c r="V31" s="392">
        <f>IF(C364=1,AL309, IF(C364=2,AL322, IF(C364=3,AL335, IF(C364=4,AL348, IF(C364=5,AL361, IF(C364=6,V361, IF(C364=7,V374, IF(C364=8,V387, IF(C364=9,AL374)))))))))</f>
        <v>0</v>
      </c>
      <c r="W31" s="393" t="str">
        <f>IF(C364=1,AM309, IF(C364=2,AM322, IF(C364=3,AM335, IF(C364=4,AM348, IF(C364=5,AM361, IF(C364=6,W361, IF(C364=7,W374, IF(C364=8,W387, IF(C364=9,AM374)))))))))</f>
        <v>No Cost</v>
      </c>
      <c r="X31" s="399"/>
      <c r="Y31" s="395"/>
      <c r="Z31" s="404"/>
      <c r="AA31" s="404"/>
    </row>
    <row r="32" spans="1:35" ht="13.5" customHeight="1" x14ac:dyDescent="0.25">
      <c r="A32" s="395"/>
      <c r="B32" s="395"/>
      <c r="C32" s="1022" t="str">
        <f>C335</f>
        <v>Purchase Price - Deposit</v>
      </c>
      <c r="D32" s="1022"/>
      <c r="E32" s="1022"/>
      <c r="F32" s="1022"/>
      <c r="G32" s="1042">
        <f>G335</f>
        <v>3000</v>
      </c>
      <c r="H32" s="395"/>
      <c r="I32" s="409"/>
      <c r="J32" s="395"/>
      <c r="K32" s="391"/>
      <c r="L32" s="1024" t="str">
        <f>IF(C364=1,AB310, IF(C364=2,AB323, IF(C364=3,AB336, IF(C364=4,AB349, IF(C364=5,AB362, IF(C364=6,L362, IF(C364=7,L375, IF(C364=8,L388, IF(C364=9,AB375)))))))))</f>
        <v>.</v>
      </c>
      <c r="M32" s="1025"/>
      <c r="N32" s="1025"/>
      <c r="O32" s="392" t="str">
        <f>IF(C364=1,AE310, IF(C364=2,AE323, IF(C364=3,AE336, IF(C364=4,AE349, IF(C364=5,AE362, IF(C364=6,O362, IF(C364=7,O375, IF(C364=8,O388, IF(C364=9,AE375)))))))))</f>
        <v>.</v>
      </c>
      <c r="P32" s="393" t="str">
        <f>IF(C364=1,AF310, IF(C364=2,AF323, IF(C364=3,AF336, IF(C364=4,AF349, IF(C364=5,AF362, IF(C364=6,P362, IF(C364=7,P375, IF(C364=8,P388, IF(C364=9,AF375)))))))))</f>
        <v>.</v>
      </c>
      <c r="Q32" s="395"/>
      <c r="R32" s="391"/>
      <c r="S32" s="1024" t="str">
        <f>IF(C364=1,AI310, IF(C364=2,AI323, IF(C364=3,AI336, IF(C364=4,AI349, IF(C364=5,AI362, IF(C364=6,S362, IF(C364=7,S375, IF(C364=8,S388, IF(C364=9,AI375)))))))))</f>
        <v>$6,001 to $25,000</v>
      </c>
      <c r="T32" s="1025"/>
      <c r="U32" s="1025"/>
      <c r="V32" s="392">
        <f>IF(C364=1,AL310, IF(C364=2,AL323, IF(C364=3,AL336, IF(C364=4,AL349, IF(C364=5,AL362, IF(C364=6,V362, IF(C364=7,V375, IF(C364=8,V388, IF(C364=9,AL375)))))))))</f>
        <v>5.0000000000000001E-3</v>
      </c>
      <c r="W32" s="393" t="str">
        <f>IF(C364=1,AM310, IF(C364=2,AM323, IF(C364=3,AM336, IF(C364=4,AM349, IF(C364=5,AM362, IF(C364=6,W362, IF(C364=7,W375, IF(C364=8,W388, IF(C364=9,AM375)))))))))</f>
        <v>Rebate</v>
      </c>
      <c r="X32" s="399"/>
      <c r="Y32" s="395"/>
      <c r="Z32" s="404"/>
      <c r="AA32" s="404"/>
    </row>
    <row r="33" spans="1:27" ht="13.5" customHeight="1" x14ac:dyDescent="0.25">
      <c r="A33" s="395"/>
      <c r="B33" s="395"/>
      <c r="C33" s="1022"/>
      <c r="D33" s="1022"/>
      <c r="E33" s="1022"/>
      <c r="F33" s="1022"/>
      <c r="G33" s="1042"/>
      <c r="H33" s="395"/>
      <c r="I33" s="409"/>
      <c r="J33" s="395"/>
      <c r="K33" s="391"/>
      <c r="L33" s="397"/>
      <c r="M33" s="397"/>
      <c r="N33" s="397"/>
      <c r="O33" s="397"/>
      <c r="P33" s="397"/>
      <c r="Q33" s="397"/>
      <c r="R33" s="398"/>
      <c r="S33" s="397"/>
      <c r="T33" s="397"/>
      <c r="U33" s="397"/>
      <c r="V33" s="397"/>
      <c r="W33" s="397"/>
      <c r="X33" s="399"/>
      <c r="Y33" s="395"/>
      <c r="Z33" s="404"/>
      <c r="AA33" s="404"/>
    </row>
    <row r="34" spans="1:27" ht="13.5" customHeight="1" x14ac:dyDescent="0.25">
      <c r="A34" s="395"/>
      <c r="B34" s="395"/>
      <c r="C34" s="1032" t="str">
        <f>C337</f>
        <v>Retention % of Purchase Price - Deposit</v>
      </c>
      <c r="D34" s="1032"/>
      <c r="E34" s="1032"/>
      <c r="F34" s="1032"/>
      <c r="G34" s="1033">
        <f>G337</f>
        <v>-3.5000000000000003E-2</v>
      </c>
      <c r="H34" s="395"/>
      <c r="I34" s="409"/>
      <c r="J34" s="395"/>
      <c r="K34" s="1034" t="str">
        <f>IF(C364=1,AA311, IF(C364=2,AA324, IF(C364=3,AA337, IF(C364=4,AA350, IF(C364=5,AA363, IF(C364=6,K363, IF(C364=7,K376, IF(C364=8,K389, IF(C364=9,AA376)))))))))</f>
        <v>18 Month Payment Term with 4 Months 0% Interest</v>
      </c>
      <c r="L34" s="1035"/>
      <c r="M34" s="1035"/>
      <c r="N34" s="1035"/>
      <c r="O34" s="1035"/>
      <c r="P34" s="1035"/>
      <c r="Q34" s="1035"/>
      <c r="R34" s="1034" t="str">
        <f>IF(C364=1,AH311, IF(C364=2,AH324, IF(C364=3,AH337, IF(C364=4,AH350, IF(C364=5,AH363, IF(C364=6,R363, IF(C364=7,R376, IF(C364=8,R389, IF(C364=9,AH376)))))))))</f>
        <v>48 Month Term with 9 Months 0% Interest</v>
      </c>
      <c r="S34" s="1035"/>
      <c r="T34" s="1035"/>
      <c r="U34" s="1035"/>
      <c r="V34" s="1035"/>
      <c r="W34" s="1035"/>
      <c r="X34" s="1038"/>
      <c r="Y34" s="395"/>
      <c r="Z34" s="404"/>
      <c r="AA34" s="404"/>
    </row>
    <row r="35" spans="1:27" ht="13.5" customHeight="1" x14ac:dyDescent="0.25">
      <c r="A35" s="395"/>
      <c r="B35" s="395"/>
      <c r="C35" s="1032"/>
      <c r="D35" s="1032"/>
      <c r="E35" s="1032"/>
      <c r="F35" s="1032"/>
      <c r="G35" s="1033"/>
      <c r="H35" s="395"/>
      <c r="I35" s="409"/>
      <c r="J35" s="395"/>
      <c r="K35" s="1036"/>
      <c r="L35" s="1037"/>
      <c r="M35" s="1037"/>
      <c r="N35" s="1037"/>
      <c r="O35" s="1037"/>
      <c r="P35" s="1037"/>
      <c r="Q35" s="1037"/>
      <c r="R35" s="1036"/>
      <c r="S35" s="1037"/>
      <c r="T35" s="1037"/>
      <c r="U35" s="1037"/>
      <c r="V35" s="1037"/>
      <c r="W35" s="1037"/>
      <c r="X35" s="1039"/>
      <c r="Y35" s="395"/>
      <c r="Z35" s="404"/>
      <c r="AA35" s="404"/>
    </row>
    <row r="36" spans="1:27" ht="13.5" customHeight="1" x14ac:dyDescent="0.25">
      <c r="A36" s="395"/>
      <c r="B36" s="395"/>
      <c r="C36" s="1032" t="str">
        <f>C339</f>
        <v>Retention amount to be deducted</v>
      </c>
      <c r="D36" s="1032"/>
      <c r="E36" s="1032"/>
      <c r="F36" s="1032"/>
      <c r="G36" s="1040">
        <f>G339</f>
        <v>-105</v>
      </c>
      <c r="H36" s="395"/>
      <c r="I36" s="409"/>
      <c r="J36" s="395"/>
      <c r="K36" s="391"/>
      <c r="L36" s="1024" t="str">
        <f>IF(C364=1,AB312, IF(C364=2,AB325, IF(C364=3,AB338, IF(C364=4,AB351, IF(C364=5,AB364, IF(C364=6,L364, IF(C364=7,L377, IF(C364=8,L390, IF(C364=9,AB377)))))))))</f>
        <v>.</v>
      </c>
      <c r="M36" s="1025"/>
      <c r="N36" s="1025"/>
      <c r="O36" s="392" t="str">
        <f>IF(C364=1,AE312, IF(C364=2,AE325, IF(C364=3,AE338, IF(C364=4,AE351, IF(C364=5,AE364, IF(C364=6,O364, IF(C364=7,O377, IF(C364=8,O390, IF(C364=9,AE377)))))))))</f>
        <v>.</v>
      </c>
      <c r="P36" s="400" t="str">
        <f>IF(C364=1,AF312, IF(C364=2,AF325, IF(C364=3,AF338, IF(C364=4,AF351, IF(C364=5,AF364, IF(C364=6,P364, IF(C364=7,P377, IF(C364=8,P390, IF(C364=9,AF377)))))))))</f>
        <v>.</v>
      </c>
      <c r="Q36" s="394"/>
      <c r="R36" s="391"/>
      <c r="S36" s="1024" t="str">
        <f>IF(C364=1,AI312, IF(C364=2,AI325, IF(C364=3,AI338, IF(C364=4,AI351, IF(C364=5,AI364, IF(C364=6,S364, IF(C364=7,S377, IF(C364=8,S390, IF(C364=9,AI377)))))))))</f>
        <v>$500 to $3,000</v>
      </c>
      <c r="T36" s="1025"/>
      <c r="U36" s="1025"/>
      <c r="V36" s="392">
        <f>IF(C364=1,AL312, IF(C364=2,AL325, IF(C364=3,AL338, IF(C364=4,AL351, IF(C364=5,AL364, IF(C364=6,V364, IF(C364=7,V377, IF(C364=8,V390, IF(C364=9,AL377)))))))))</f>
        <v>-2.5000000000000001E-2</v>
      </c>
      <c r="W36" s="400" t="str">
        <f>IF(C364=1,AM312, IF(C364=2,AM325, IF(C364=3,AM338, IF(C364=4,AM351, IF(C364=5,AM364, IF(C364=6,W364, IF(C364=7,W377, IF(C364=8,W390, IF(C364=9,AM377)))))))))</f>
        <v>Retention</v>
      </c>
      <c r="X36" s="399"/>
      <c r="Y36" s="395"/>
      <c r="Z36" s="404"/>
      <c r="AA36" s="404"/>
    </row>
    <row r="37" spans="1:27" ht="13.5" customHeight="1" x14ac:dyDescent="0.25">
      <c r="A37" s="395"/>
      <c r="B37" s="395"/>
      <c r="C37" s="1032"/>
      <c r="D37" s="1032"/>
      <c r="E37" s="1032"/>
      <c r="F37" s="1032"/>
      <c r="G37" s="1040"/>
      <c r="H37" s="395"/>
      <c r="I37" s="409"/>
      <c r="J37" s="395"/>
      <c r="K37" s="391"/>
      <c r="L37" s="1024" t="str">
        <f>IF(C364=1,AB313, IF(C364=2,AB326, IF(C364=3,AB339, IF(C364=4,AB352, IF(C364=5,AB365, IF(C364=6,L365, IF(C364=7,L378, IF(C364=8,L391, IF(C364=9,AB378)))))))))</f>
        <v>$500 to $25,000</v>
      </c>
      <c r="M37" s="1025"/>
      <c r="N37" s="1025"/>
      <c r="O37" s="392">
        <f>IF(C364=1,AE313, IF(C364=2,AE326, IF(C364=3,AE339, IF(C364=4,AE352, IF(C364=5,AE365, IF(C364=6,O365, IF(C364=7,O378, IF(C364=8,O391, IF(C364=9,AE378)))))))))</f>
        <v>-2.5000000000000001E-2</v>
      </c>
      <c r="P37" s="400" t="str">
        <f>IF(C364=1,AF313, IF(C364=2,AF326, IF(C364=3,AF339, IF(C364=4,AF352, IF(C364=5,AF365, IF(C364=6,P365, IF(C364=7,P378, IF(C364=8,P391, IF(C364=9,AF378)))))))))</f>
        <v>Retention</v>
      </c>
      <c r="Q37" s="396"/>
      <c r="R37" s="391"/>
      <c r="S37" s="1024" t="str">
        <f>IF(C364=1,AI313, IF(C364=2,AI326, IF(C364=3,AI339, IF(C364=4,AI352, IF(C364=5,AI365, IF(C364=6,S365, IF(C364=7,S378, IF(C364=8,S391, IF(C364=9,AI378)))))))))</f>
        <v>$3,001 to $6,000</v>
      </c>
      <c r="T37" s="1025"/>
      <c r="U37" s="1025"/>
      <c r="V37" s="392">
        <f>IF(C364=1,AL313, IF(C364=2,AL326, IF(C364=3,AL339, IF(C364=4,AL352, IF(C364=5,AL365, IF(C364=6,V365, IF(C364=7,V378, IF(C364=8,V391, IF(C364=9,AL378)))))))))</f>
        <v>-2.4E-2</v>
      </c>
      <c r="W37" s="400" t="str">
        <f>IF(C364=1,AM313, IF(C364=2,AM326, IF(C364=3,AM339, IF(C364=4,AM352, IF(C364=5,AM365, IF(C364=6,W365, IF(C364=7,W378, IF(C364=8,W391, IF(C364=9,AM378)))))))))</f>
        <v>Retention</v>
      </c>
      <c r="X37" s="399"/>
      <c r="Y37" s="395"/>
      <c r="Z37" s="404"/>
      <c r="AA37" s="404"/>
    </row>
    <row r="38" spans="1:27" ht="13.5" customHeight="1" x14ac:dyDescent="0.25">
      <c r="A38" s="395"/>
      <c r="B38" s="395"/>
      <c r="C38" s="1022" t="str">
        <f>C341</f>
        <v>Total Payable to your Bank Account</v>
      </c>
      <c r="D38" s="1022"/>
      <c r="E38" s="1022"/>
      <c r="F38" s="1022"/>
      <c r="G38" s="1023">
        <f>G341</f>
        <v>2895</v>
      </c>
      <c r="H38" s="395"/>
      <c r="I38" s="409"/>
      <c r="J38" s="395"/>
      <c r="K38" s="391"/>
      <c r="L38" s="1024" t="str">
        <f>IF(C364=1,AB314, IF(C364=2,AB327, IF(C364=3,AB340, IF(C364=4,AB353, IF(C364=5,AB366, IF(C364=6,L366, IF(C364=7,L379, IF(C364=8,L392, IF(C364=9,AB379)))))))))</f>
        <v>.</v>
      </c>
      <c r="M38" s="1025"/>
      <c r="N38" s="1025"/>
      <c r="O38" s="392" t="str">
        <f>IF(C364=1,AE314, IF(C364=2,AE327, IF(C364=3,AE340, IF(C364=4,AE353, IF(C364=5,AE366, IF(C364=6,O366, IF(C364=7,O379, IF(C364=8,O392, IF(C364=9,AE379)))))))))</f>
        <v>.</v>
      </c>
      <c r="P38" s="400" t="str">
        <f>IF(C364=1,AF314, IF(C364=2,AF327, IF(C364=3,AF340, IF(C364=4,AF353, IF(C364=5,AF366, IF(C364=6,P366, IF(C364=7,P379, IF(C364=8,P392, IF(C364=9,AF379)))))))))</f>
        <v>.</v>
      </c>
      <c r="Q38" s="394"/>
      <c r="R38" s="391"/>
      <c r="S38" s="1024" t="str">
        <f>IF(C364=1,AI314, IF(C364=2,AI327, IF(C364=3,AI340, IF(C364=4,AI353, IF(C364=5,AI366, IF(C364=6,S366, IF(C364=7,S379, IF(C364=8,S392, IF(C364=9,AI379)))))))))</f>
        <v>$6,001 to $25,000</v>
      </c>
      <c r="T38" s="1025"/>
      <c r="U38" s="1025"/>
      <c r="V38" s="392">
        <f>IF(C364=1,AL314, IF(C364=2,AL327, IF(C364=3,AL340, IF(C364=4,AL353, IF(C364=5,AL366, IF(C364=6,V366, IF(C364=7,V379, IF(C364=8,V392, IF(C364=9,AL379)))))))))</f>
        <v>-0.02</v>
      </c>
      <c r="W38" s="400" t="str">
        <f>IF(C364=1,AM314, IF(C364=2,AM327, IF(C364=3,AM340, IF(C364=4,AM353, IF(C364=5,AM366, IF(C364=6,W366, IF(C364=7,W379, IF(C364=8,W392, IF(C364=9,AM379)))))))))</f>
        <v>Retention</v>
      </c>
      <c r="X38" s="399"/>
      <c r="Y38" s="395"/>
      <c r="Z38" s="404"/>
      <c r="AA38" s="404"/>
    </row>
    <row r="39" spans="1:27" ht="13.5" customHeight="1" x14ac:dyDescent="0.25">
      <c r="A39" s="395"/>
      <c r="B39" s="395"/>
      <c r="C39" s="1022"/>
      <c r="D39" s="1022"/>
      <c r="E39" s="1022"/>
      <c r="F39" s="1022"/>
      <c r="G39" s="1023"/>
      <c r="H39" s="395"/>
      <c r="I39" s="409"/>
      <c r="J39" s="395"/>
      <c r="K39" s="401"/>
      <c r="L39" s="402"/>
      <c r="M39" s="402"/>
      <c r="N39" s="402"/>
      <c r="O39" s="402"/>
      <c r="P39" s="402"/>
      <c r="Q39" s="402"/>
      <c r="R39" s="401"/>
      <c r="S39" s="402"/>
      <c r="T39" s="402"/>
      <c r="U39" s="402"/>
      <c r="V39" s="402"/>
      <c r="W39" s="402"/>
      <c r="X39" s="403"/>
      <c r="Y39" s="395"/>
      <c r="Z39" s="404"/>
      <c r="AA39" s="404"/>
    </row>
    <row r="40" spans="1:27" ht="13.5" customHeight="1" x14ac:dyDescent="0.25">
      <c r="A40" s="395"/>
      <c r="B40" s="395"/>
      <c r="C40" s="1026" t="s">
        <v>120</v>
      </c>
      <c r="D40" s="1026"/>
      <c r="E40" s="1026"/>
      <c r="F40" s="1026"/>
      <c r="G40" s="1026"/>
      <c r="H40" s="395"/>
      <c r="I40" s="409"/>
      <c r="J40" s="395"/>
      <c r="K40" s="1027" t="s">
        <v>205</v>
      </c>
      <c r="L40" s="1027"/>
      <c r="M40" s="1027"/>
      <c r="N40" s="1027"/>
      <c r="O40" s="1027"/>
      <c r="P40" s="1027"/>
      <c r="Q40" s="1027"/>
      <c r="R40" s="1029" t="s">
        <v>85</v>
      </c>
      <c r="S40" s="1029"/>
      <c r="T40" s="1029"/>
      <c r="U40" s="1029"/>
      <c r="V40" s="1029"/>
      <c r="W40" s="1029"/>
      <c r="X40" s="1029"/>
      <c r="Y40" s="429"/>
      <c r="Z40" s="404"/>
      <c r="AA40" s="404"/>
    </row>
    <row r="41" spans="1:27" ht="13.5" customHeight="1" x14ac:dyDescent="0.25">
      <c r="A41" s="395"/>
      <c r="B41" s="395"/>
      <c r="C41" s="1031" t="s">
        <v>96</v>
      </c>
      <c r="D41" s="1031"/>
      <c r="E41" s="1031"/>
      <c r="F41" s="430" t="s">
        <v>97</v>
      </c>
      <c r="G41" s="431"/>
      <c r="H41" s="395"/>
      <c r="I41" s="409"/>
      <c r="J41" s="395"/>
      <c r="K41" s="1028"/>
      <c r="L41" s="1028"/>
      <c r="M41" s="1028"/>
      <c r="N41" s="1028"/>
      <c r="O41" s="1028"/>
      <c r="P41" s="1028"/>
      <c r="Q41" s="1028"/>
      <c r="R41" s="1030"/>
      <c r="S41" s="1030"/>
      <c r="T41" s="1030"/>
      <c r="U41" s="1030"/>
      <c r="V41" s="1030"/>
      <c r="W41" s="1030"/>
      <c r="X41" s="1030"/>
      <c r="Y41" s="429"/>
      <c r="Z41" s="404"/>
      <c r="AA41" s="404"/>
    </row>
    <row r="42" spans="1:27" ht="13.5" customHeight="1" x14ac:dyDescent="0.25">
      <c r="A42" s="395"/>
      <c r="B42" s="395"/>
      <c r="C42" s="1010" t="s">
        <v>93</v>
      </c>
      <c r="D42" s="1010"/>
      <c r="E42" s="1010"/>
      <c r="F42" s="1010"/>
      <c r="G42" s="1010"/>
      <c r="H42" s="1010"/>
      <c r="I42" s="1010"/>
      <c r="J42" s="1010"/>
      <c r="K42" s="1010"/>
      <c r="L42" s="1010"/>
      <c r="M42" s="1010"/>
      <c r="N42" s="1010"/>
      <c r="O42" s="1010"/>
      <c r="P42" s="1010"/>
      <c r="Q42" s="1010"/>
      <c r="R42" s="1010"/>
      <c r="S42" s="1010"/>
      <c r="T42" s="1010"/>
      <c r="U42" s="1010"/>
      <c r="V42" s="1010"/>
      <c r="W42" s="1010"/>
      <c r="X42" s="1010"/>
      <c r="Y42" s="1010"/>
      <c r="Z42" s="404"/>
      <c r="AA42" s="404"/>
    </row>
    <row r="43" spans="1:27" ht="12.75" customHeight="1" x14ac:dyDescent="0.25">
      <c r="A43" s="395"/>
      <c r="B43" s="395"/>
      <c r="C43" s="417"/>
      <c r="D43" s="412"/>
      <c r="E43" s="395"/>
      <c r="F43" s="412"/>
      <c r="G43" s="412"/>
      <c r="H43" s="412"/>
      <c r="I43" s="412"/>
      <c r="J43" s="412"/>
      <c r="K43" s="404"/>
      <c r="L43" s="404"/>
      <c r="M43" s="404"/>
      <c r="N43" s="404"/>
      <c r="O43" s="404"/>
      <c r="P43" s="404"/>
      <c r="Q43" s="404"/>
      <c r="R43" s="404"/>
      <c r="S43" s="395"/>
      <c r="T43" s="404"/>
      <c r="U43" s="404"/>
      <c r="V43" s="404"/>
      <c r="W43" s="404"/>
      <c r="X43" s="432"/>
      <c r="Y43" s="404"/>
      <c r="Z43" s="404"/>
      <c r="AA43" s="404"/>
    </row>
    <row r="44" spans="1:27" ht="12.75" customHeight="1" x14ac:dyDescent="0.25">
      <c r="A44" s="395"/>
      <c r="B44" s="395"/>
      <c r="C44" s="417"/>
      <c r="D44" s="412"/>
      <c r="E44" s="395"/>
      <c r="F44" s="412"/>
      <c r="G44" s="412"/>
      <c r="H44" s="412"/>
      <c r="I44" s="412"/>
      <c r="J44" s="412"/>
      <c r="K44" s="404"/>
      <c r="L44" s="404"/>
      <c r="M44" s="404"/>
      <c r="N44" s="404"/>
      <c r="O44" s="404"/>
      <c r="P44" s="404"/>
      <c r="Q44" s="404"/>
      <c r="R44" s="404"/>
      <c r="S44" s="395"/>
      <c r="T44" s="404"/>
      <c r="U44" s="404"/>
      <c r="V44" s="404"/>
      <c r="W44" s="404"/>
      <c r="X44" s="432"/>
      <c r="Y44" s="404"/>
      <c r="Z44" s="404"/>
      <c r="AA44" s="404"/>
    </row>
    <row r="45" spans="1:27" ht="12.75" customHeight="1" x14ac:dyDescent="0.25">
      <c r="A45" s="119"/>
      <c r="B45" s="119"/>
      <c r="C45" s="123"/>
      <c r="D45" s="122"/>
      <c r="E45" s="119"/>
      <c r="F45" s="122"/>
      <c r="G45" s="122"/>
      <c r="H45" s="122"/>
      <c r="I45" s="122"/>
      <c r="J45" s="122"/>
      <c r="S45" s="120"/>
      <c r="X45" s="124"/>
    </row>
    <row r="46" spans="1:27" ht="12.75" customHeight="1" x14ac:dyDescent="0.25">
      <c r="A46" s="119"/>
      <c r="B46" s="119"/>
      <c r="C46" s="123"/>
      <c r="D46" s="122"/>
      <c r="E46" s="119"/>
      <c r="F46" s="122"/>
      <c r="G46" s="122"/>
      <c r="H46" s="122"/>
      <c r="I46" s="122"/>
      <c r="J46" s="122"/>
      <c r="S46" s="120"/>
      <c r="X46" s="124"/>
    </row>
    <row r="47" spans="1:27" ht="12.75" customHeight="1" x14ac:dyDescent="0.25">
      <c r="A47" s="119"/>
      <c r="B47" s="119"/>
      <c r="C47" s="123"/>
      <c r="D47" s="122"/>
      <c r="E47" s="119"/>
      <c r="F47" s="122"/>
      <c r="G47" s="122"/>
      <c r="H47" s="122"/>
      <c r="I47" s="122"/>
      <c r="J47" s="122"/>
      <c r="S47" s="120"/>
      <c r="X47" s="124"/>
    </row>
    <row r="48" spans="1:27" ht="12.75" customHeight="1" x14ac:dyDescent="0.25">
      <c r="A48" s="119"/>
      <c r="B48" s="119"/>
      <c r="C48" s="123"/>
      <c r="D48" s="122"/>
      <c r="E48" s="119"/>
      <c r="F48" s="122"/>
      <c r="G48" s="122"/>
      <c r="H48" s="122"/>
      <c r="I48" s="122"/>
      <c r="J48" s="122"/>
      <c r="S48" s="120"/>
      <c r="X48" s="124"/>
    </row>
    <row r="49" spans="1:24" ht="12.75" customHeight="1" x14ac:dyDescent="0.25">
      <c r="A49" s="119"/>
      <c r="B49" s="119"/>
      <c r="C49" s="123"/>
      <c r="D49" s="122"/>
      <c r="E49" s="119"/>
      <c r="F49" s="122"/>
      <c r="G49" s="122"/>
      <c r="H49" s="122"/>
      <c r="I49" s="122"/>
      <c r="J49" s="122"/>
      <c r="S49" s="120"/>
      <c r="X49" s="124"/>
    </row>
    <row r="50" spans="1:24" ht="12.75" customHeight="1" x14ac:dyDescent="0.25">
      <c r="A50" s="119"/>
      <c r="B50" s="119"/>
      <c r="C50" s="123"/>
      <c r="D50" s="122"/>
      <c r="E50" s="119"/>
      <c r="F50" s="122"/>
      <c r="G50" s="122"/>
      <c r="H50" s="122"/>
      <c r="I50" s="122"/>
      <c r="J50" s="122"/>
      <c r="S50" s="120"/>
      <c r="X50" s="124"/>
    </row>
    <row r="51" spans="1:24" ht="12.75" customHeight="1" x14ac:dyDescent="0.25">
      <c r="A51" s="119"/>
      <c r="B51" s="119"/>
      <c r="C51" s="123"/>
      <c r="D51" s="122"/>
      <c r="E51" s="119"/>
      <c r="F51" s="122"/>
      <c r="G51" s="122"/>
      <c r="H51" s="122"/>
      <c r="I51" s="122"/>
      <c r="J51" s="122"/>
      <c r="S51" s="120"/>
      <c r="X51" s="124"/>
    </row>
    <row r="52" spans="1:24" ht="12.75" customHeight="1" x14ac:dyDescent="0.25">
      <c r="A52" s="119"/>
      <c r="B52" s="119"/>
      <c r="C52" s="123"/>
      <c r="D52" s="122"/>
      <c r="E52" s="119"/>
      <c r="F52" s="122"/>
      <c r="G52" s="122"/>
      <c r="H52" s="122"/>
      <c r="I52" s="122"/>
      <c r="J52" s="122"/>
      <c r="S52" s="120"/>
      <c r="X52" s="124"/>
    </row>
    <row r="53" spans="1:24" ht="12.75" customHeight="1" x14ac:dyDescent="0.25">
      <c r="A53" s="119"/>
      <c r="B53" s="119"/>
      <c r="C53" s="123"/>
      <c r="D53" s="122"/>
      <c r="E53" s="119"/>
      <c r="F53" s="122"/>
      <c r="G53" s="122"/>
      <c r="H53" s="122"/>
      <c r="I53" s="122"/>
      <c r="J53" s="122"/>
      <c r="S53" s="120"/>
      <c r="X53" s="124"/>
    </row>
    <row r="54" spans="1:24" ht="12.75" customHeight="1" x14ac:dyDescent="0.25">
      <c r="A54" s="119"/>
      <c r="B54" s="119"/>
      <c r="C54" s="123"/>
      <c r="D54" s="122"/>
      <c r="E54" s="119"/>
      <c r="F54" s="122"/>
      <c r="G54" s="122"/>
      <c r="H54" s="122"/>
      <c r="I54" s="122"/>
      <c r="J54" s="122"/>
      <c r="S54" s="120"/>
      <c r="X54" s="124"/>
    </row>
    <row r="55" spans="1:24" ht="12.75" customHeight="1" x14ac:dyDescent="0.25">
      <c r="A55" s="119"/>
      <c r="B55" s="119"/>
      <c r="C55" s="123"/>
      <c r="D55" s="122"/>
      <c r="E55" s="119"/>
      <c r="F55" s="122"/>
      <c r="G55" s="122"/>
      <c r="H55" s="122"/>
      <c r="I55" s="122"/>
      <c r="J55" s="122"/>
      <c r="S55" s="120"/>
      <c r="X55" s="124"/>
    </row>
    <row r="56" spans="1:24" ht="12.75" customHeight="1" x14ac:dyDescent="0.25">
      <c r="A56" s="119"/>
      <c r="B56" s="119"/>
      <c r="C56" s="123"/>
      <c r="D56" s="122"/>
      <c r="E56" s="119"/>
      <c r="F56" s="122"/>
      <c r="G56" s="122"/>
      <c r="H56" s="122"/>
      <c r="I56" s="122"/>
      <c r="J56" s="122"/>
      <c r="S56" s="120"/>
      <c r="X56" s="124"/>
    </row>
    <row r="57" spans="1:24" ht="12.75" customHeight="1" x14ac:dyDescent="0.25">
      <c r="A57" s="119"/>
      <c r="B57" s="119"/>
      <c r="C57" s="123"/>
      <c r="D57" s="122"/>
      <c r="E57" s="119"/>
      <c r="F57" s="122"/>
      <c r="G57" s="122"/>
      <c r="H57" s="122"/>
      <c r="I57" s="122"/>
      <c r="J57" s="122"/>
      <c r="S57" s="120"/>
      <c r="X57" s="124"/>
    </row>
    <row r="58" spans="1:24" ht="12.75" customHeight="1" x14ac:dyDescent="0.25">
      <c r="A58" s="119"/>
      <c r="B58" s="119"/>
      <c r="C58" s="123"/>
      <c r="D58" s="122"/>
      <c r="E58" s="119"/>
      <c r="F58" s="122"/>
      <c r="G58" s="122"/>
      <c r="H58" s="122"/>
      <c r="I58" s="122"/>
      <c r="J58" s="122"/>
      <c r="S58" s="120"/>
      <c r="X58" s="124"/>
    </row>
    <row r="59" spans="1:24" ht="12.75" customHeight="1" x14ac:dyDescent="0.25">
      <c r="A59" s="119"/>
      <c r="B59" s="119"/>
      <c r="C59" s="123"/>
      <c r="D59" s="122"/>
      <c r="E59" s="119"/>
      <c r="F59" s="122"/>
      <c r="G59" s="122"/>
      <c r="H59" s="122"/>
      <c r="I59" s="122"/>
      <c r="J59" s="122"/>
      <c r="S59" s="120"/>
      <c r="X59" s="124"/>
    </row>
    <row r="60" spans="1:24" ht="12.75" customHeight="1" x14ac:dyDescent="0.25">
      <c r="A60" s="119"/>
      <c r="B60" s="119"/>
      <c r="C60" s="123"/>
      <c r="D60" s="122"/>
      <c r="E60" s="119"/>
      <c r="F60" s="122"/>
      <c r="G60" s="122"/>
      <c r="H60" s="122"/>
      <c r="I60" s="122"/>
      <c r="J60" s="122"/>
      <c r="S60" s="120"/>
      <c r="X60" s="124"/>
    </row>
    <row r="61" spans="1:24" ht="12.75" customHeight="1" x14ac:dyDescent="0.25">
      <c r="A61" s="119"/>
      <c r="B61" s="119"/>
      <c r="C61" s="123"/>
      <c r="D61" s="122"/>
      <c r="E61" s="119"/>
      <c r="F61" s="122"/>
      <c r="G61" s="122"/>
      <c r="H61" s="122"/>
      <c r="I61" s="122"/>
      <c r="J61" s="122"/>
      <c r="S61" s="120"/>
      <c r="X61" s="124"/>
    </row>
    <row r="62" spans="1:24" ht="12.75" customHeight="1" x14ac:dyDescent="0.25">
      <c r="A62" s="119"/>
      <c r="B62" s="119"/>
      <c r="C62" s="123"/>
      <c r="D62" s="122"/>
      <c r="E62" s="119"/>
      <c r="F62" s="122"/>
      <c r="G62" s="122"/>
      <c r="H62" s="122"/>
      <c r="I62" s="122"/>
      <c r="J62" s="122"/>
      <c r="S62" s="120"/>
      <c r="X62" s="124"/>
    </row>
    <row r="63" spans="1:24" ht="12.75" customHeight="1" x14ac:dyDescent="0.25">
      <c r="A63" s="119"/>
      <c r="B63" s="119"/>
      <c r="C63" s="123"/>
      <c r="D63" s="122"/>
      <c r="E63" s="119"/>
      <c r="F63" s="122"/>
      <c r="G63" s="122"/>
      <c r="H63" s="122"/>
      <c r="I63" s="122"/>
      <c r="J63" s="122"/>
      <c r="S63" s="120"/>
      <c r="X63" s="124"/>
    </row>
    <row r="64" spans="1:24" ht="12.75" customHeight="1" x14ac:dyDescent="0.25">
      <c r="A64" s="119"/>
      <c r="B64" s="119"/>
      <c r="C64" s="123"/>
      <c r="D64" s="122"/>
      <c r="E64" s="119"/>
      <c r="F64" s="122"/>
      <c r="G64" s="122"/>
      <c r="H64" s="122"/>
      <c r="I64" s="122"/>
      <c r="J64" s="122"/>
      <c r="S64" s="120"/>
      <c r="X64" s="124"/>
    </row>
    <row r="65" spans="1:24" ht="12.75" customHeight="1" x14ac:dyDescent="0.25">
      <c r="A65" s="119"/>
      <c r="B65" s="119"/>
      <c r="C65" s="123"/>
      <c r="D65" s="122"/>
      <c r="E65" s="119"/>
      <c r="F65" s="122"/>
      <c r="G65" s="122"/>
      <c r="H65" s="122"/>
      <c r="I65" s="122"/>
      <c r="J65" s="122"/>
      <c r="S65" s="120"/>
      <c r="X65" s="124"/>
    </row>
    <row r="66" spans="1:24" ht="12.75" customHeight="1" x14ac:dyDescent="0.25">
      <c r="A66" s="119"/>
      <c r="B66" s="119"/>
      <c r="C66" s="123"/>
      <c r="D66" s="122"/>
      <c r="E66" s="119"/>
      <c r="F66" s="122"/>
      <c r="G66" s="122"/>
      <c r="H66" s="122"/>
      <c r="I66" s="122"/>
      <c r="J66" s="122"/>
      <c r="S66" s="120"/>
      <c r="X66" s="124"/>
    </row>
    <row r="67" spans="1:24" ht="12.75" customHeight="1" x14ac:dyDescent="0.25">
      <c r="A67" s="119"/>
      <c r="B67" s="119"/>
      <c r="C67" s="123"/>
      <c r="D67" s="122"/>
      <c r="E67" s="119"/>
      <c r="F67" s="122"/>
      <c r="G67" s="122"/>
      <c r="H67" s="122"/>
      <c r="I67" s="122"/>
      <c r="J67" s="122"/>
      <c r="S67" s="120"/>
      <c r="X67" s="124"/>
    </row>
    <row r="68" spans="1:24" ht="12.75" customHeight="1" x14ac:dyDescent="0.25">
      <c r="A68" s="119"/>
      <c r="B68" s="119"/>
      <c r="C68" s="123"/>
      <c r="D68" s="122"/>
      <c r="E68" s="119"/>
      <c r="F68" s="122"/>
      <c r="G68" s="122"/>
      <c r="H68" s="122"/>
      <c r="I68" s="122"/>
      <c r="J68" s="122"/>
      <c r="S68" s="120"/>
      <c r="X68" s="124"/>
    </row>
    <row r="69" spans="1:24" ht="12.75" customHeight="1" x14ac:dyDescent="0.25">
      <c r="A69" s="119"/>
      <c r="B69" s="119"/>
      <c r="C69" s="123"/>
      <c r="D69" s="122"/>
      <c r="E69" s="119"/>
      <c r="F69" s="122"/>
      <c r="G69" s="122"/>
      <c r="H69" s="122"/>
      <c r="I69" s="122"/>
      <c r="J69" s="122"/>
      <c r="S69" s="120"/>
      <c r="X69" s="124"/>
    </row>
    <row r="70" spans="1:24" ht="12.75" customHeight="1" x14ac:dyDescent="0.25">
      <c r="A70" s="119"/>
      <c r="B70" s="119"/>
      <c r="C70" s="123"/>
      <c r="D70" s="122"/>
      <c r="E70" s="119"/>
      <c r="F70" s="122"/>
      <c r="G70" s="122"/>
      <c r="H70" s="122"/>
      <c r="I70" s="122"/>
      <c r="J70" s="122"/>
      <c r="S70" s="120"/>
      <c r="X70" s="124"/>
    </row>
    <row r="71" spans="1:24" ht="12.75" customHeight="1" x14ac:dyDescent="0.25">
      <c r="A71" s="119"/>
      <c r="B71" s="119"/>
      <c r="C71" s="123"/>
      <c r="D71" s="122"/>
      <c r="E71" s="119"/>
      <c r="F71" s="122"/>
      <c r="G71" s="122"/>
      <c r="H71" s="122"/>
      <c r="I71" s="122"/>
      <c r="J71" s="122"/>
      <c r="S71" s="120"/>
      <c r="X71" s="124"/>
    </row>
    <row r="72" spans="1:24" ht="12.75" customHeight="1" x14ac:dyDescent="0.25">
      <c r="A72" s="119"/>
      <c r="B72" s="119"/>
      <c r="C72" s="123"/>
      <c r="D72" s="122"/>
      <c r="E72" s="119"/>
      <c r="F72" s="122"/>
      <c r="G72" s="122"/>
      <c r="H72" s="122"/>
      <c r="I72" s="122"/>
      <c r="J72" s="122"/>
      <c r="S72" s="120"/>
      <c r="X72" s="124"/>
    </row>
    <row r="73" spans="1:24" ht="12.75" customHeight="1" x14ac:dyDescent="0.25">
      <c r="A73" s="119"/>
      <c r="B73" s="119"/>
      <c r="C73" s="123"/>
      <c r="D73" s="122"/>
      <c r="E73" s="119"/>
      <c r="F73" s="122"/>
      <c r="G73" s="122"/>
      <c r="H73" s="122"/>
      <c r="I73" s="122"/>
      <c r="J73" s="122"/>
      <c r="S73" s="120"/>
      <c r="X73" s="124"/>
    </row>
    <row r="74" spans="1:24" ht="12.75" customHeight="1" x14ac:dyDescent="0.25">
      <c r="A74" s="119"/>
      <c r="B74" s="119"/>
      <c r="C74" s="123"/>
      <c r="D74" s="122"/>
      <c r="E74" s="119"/>
      <c r="F74" s="122"/>
      <c r="G74" s="122"/>
      <c r="H74" s="122"/>
      <c r="I74" s="122"/>
      <c r="J74" s="122"/>
      <c r="S74" s="120"/>
      <c r="X74" s="124"/>
    </row>
    <row r="75" spans="1:24" ht="12.75" customHeight="1" x14ac:dyDescent="0.25">
      <c r="A75" s="119"/>
      <c r="B75" s="119"/>
      <c r="C75" s="123"/>
      <c r="D75" s="122"/>
      <c r="E75" s="119"/>
      <c r="F75" s="122"/>
      <c r="G75" s="122"/>
      <c r="H75" s="122"/>
      <c r="I75" s="122"/>
      <c r="J75" s="122"/>
      <c r="S75" s="120"/>
      <c r="X75" s="124"/>
    </row>
    <row r="76" spans="1:24" ht="12.75" customHeight="1" x14ac:dyDescent="0.25">
      <c r="A76" s="119"/>
      <c r="B76" s="119"/>
      <c r="C76" s="123"/>
      <c r="D76" s="122"/>
      <c r="E76" s="119"/>
      <c r="F76" s="122"/>
      <c r="G76" s="122"/>
      <c r="H76" s="122"/>
      <c r="I76" s="122"/>
      <c r="J76" s="122"/>
      <c r="S76" s="120"/>
      <c r="X76" s="124"/>
    </row>
    <row r="77" spans="1:24" ht="12.75" customHeight="1" x14ac:dyDescent="0.25">
      <c r="A77" s="119"/>
      <c r="B77" s="119"/>
      <c r="C77" s="123"/>
      <c r="D77" s="122"/>
      <c r="E77" s="119"/>
      <c r="F77" s="122"/>
      <c r="G77" s="122"/>
      <c r="H77" s="122"/>
      <c r="I77" s="122"/>
      <c r="J77" s="122"/>
      <c r="S77" s="120"/>
      <c r="X77" s="124"/>
    </row>
    <row r="78" spans="1:24" ht="12.75" customHeight="1" x14ac:dyDescent="0.25">
      <c r="A78" s="119"/>
      <c r="B78" s="119"/>
      <c r="C78" s="123"/>
      <c r="D78" s="122"/>
      <c r="E78" s="119"/>
      <c r="F78" s="122"/>
      <c r="G78" s="122"/>
      <c r="H78" s="122"/>
      <c r="I78" s="122"/>
      <c r="J78" s="122"/>
      <c r="S78" s="120"/>
      <c r="X78" s="124"/>
    </row>
    <row r="79" spans="1:24" ht="12.75" customHeight="1" x14ac:dyDescent="0.25">
      <c r="A79" s="119"/>
      <c r="B79" s="119"/>
      <c r="C79" s="123"/>
      <c r="D79" s="122"/>
      <c r="E79" s="119"/>
      <c r="F79" s="122"/>
      <c r="G79" s="122"/>
      <c r="H79" s="122"/>
      <c r="I79" s="122"/>
      <c r="J79" s="122"/>
      <c r="S79" s="120"/>
      <c r="X79" s="124"/>
    </row>
    <row r="80" spans="1:24" ht="12.75" customHeight="1" x14ac:dyDescent="0.25">
      <c r="A80" s="119"/>
      <c r="B80" s="119"/>
      <c r="C80" s="123"/>
      <c r="D80" s="122"/>
      <c r="E80" s="119"/>
      <c r="F80" s="122"/>
      <c r="G80" s="122"/>
      <c r="H80" s="122"/>
      <c r="I80" s="122"/>
      <c r="J80" s="122"/>
      <c r="S80" s="120"/>
      <c r="X80" s="124"/>
    </row>
    <row r="81" spans="1:24" ht="12.75" customHeight="1" x14ac:dyDescent="0.25">
      <c r="A81" s="119"/>
      <c r="B81" s="119"/>
      <c r="C81" s="123"/>
      <c r="D81" s="122"/>
      <c r="E81" s="119"/>
      <c r="F81" s="122"/>
      <c r="G81" s="122"/>
      <c r="H81" s="122"/>
      <c r="I81" s="122"/>
      <c r="J81" s="122"/>
      <c r="S81" s="120"/>
      <c r="X81" s="124"/>
    </row>
    <row r="82" spans="1:24" ht="12.75" customHeight="1" x14ac:dyDescent="0.25">
      <c r="A82" s="119"/>
      <c r="B82" s="119"/>
      <c r="C82" s="123"/>
      <c r="D82" s="122"/>
      <c r="E82" s="119"/>
      <c r="F82" s="122"/>
      <c r="G82" s="122"/>
      <c r="H82" s="122"/>
      <c r="I82" s="122"/>
      <c r="J82" s="122"/>
      <c r="S82" s="120"/>
      <c r="X82" s="124"/>
    </row>
    <row r="83" spans="1:24" ht="12.75" customHeight="1" x14ac:dyDescent="0.25">
      <c r="A83" s="119"/>
      <c r="B83" s="119"/>
      <c r="C83" s="123"/>
      <c r="D83" s="122"/>
      <c r="E83" s="119"/>
      <c r="F83" s="122"/>
      <c r="G83" s="122"/>
      <c r="H83" s="122"/>
      <c r="I83" s="122"/>
      <c r="J83" s="122"/>
      <c r="S83" s="120"/>
      <c r="X83" s="124"/>
    </row>
    <row r="84" spans="1:24" ht="12.75" customHeight="1" x14ac:dyDescent="0.25">
      <c r="A84" s="119"/>
      <c r="B84" s="119"/>
      <c r="C84" s="123"/>
      <c r="D84" s="122"/>
      <c r="E84" s="119"/>
      <c r="F84" s="122"/>
      <c r="G84" s="122"/>
      <c r="H84" s="122"/>
      <c r="I84" s="122"/>
      <c r="J84" s="122"/>
      <c r="S84" s="120"/>
      <c r="X84" s="124"/>
    </row>
    <row r="85" spans="1:24" ht="12.75" customHeight="1" x14ac:dyDescent="0.25">
      <c r="A85" s="119"/>
      <c r="B85" s="119"/>
      <c r="C85" s="123"/>
      <c r="D85" s="122"/>
      <c r="E85" s="119"/>
      <c r="F85" s="122"/>
      <c r="G85" s="122"/>
      <c r="H85" s="122"/>
      <c r="I85" s="122"/>
      <c r="J85" s="122"/>
      <c r="S85" s="120"/>
      <c r="X85" s="124"/>
    </row>
    <row r="86" spans="1:24" ht="12.75" customHeight="1" x14ac:dyDescent="0.25">
      <c r="A86" s="119"/>
      <c r="B86" s="119"/>
      <c r="C86" s="123"/>
      <c r="D86" s="122"/>
      <c r="E86" s="119"/>
      <c r="F86" s="122"/>
      <c r="G86" s="122"/>
      <c r="H86" s="122"/>
      <c r="I86" s="122"/>
      <c r="J86" s="122"/>
      <c r="S86" s="120"/>
      <c r="X86" s="124"/>
    </row>
    <row r="87" spans="1:24" ht="12.75" customHeight="1" x14ac:dyDescent="0.25">
      <c r="A87" s="119"/>
      <c r="B87" s="119"/>
      <c r="C87" s="123"/>
      <c r="D87" s="122"/>
      <c r="E87" s="119"/>
      <c r="F87" s="122"/>
      <c r="G87" s="122"/>
      <c r="H87" s="122"/>
      <c r="I87" s="122"/>
      <c r="J87" s="122"/>
      <c r="S87" s="120"/>
      <c r="X87" s="124"/>
    </row>
    <row r="88" spans="1:24" ht="12.75" customHeight="1" x14ac:dyDescent="0.25">
      <c r="A88" s="119"/>
      <c r="B88" s="119"/>
      <c r="C88" s="123"/>
      <c r="D88" s="122"/>
      <c r="E88" s="119"/>
      <c r="F88" s="122"/>
      <c r="G88" s="122"/>
      <c r="H88" s="122"/>
      <c r="I88" s="122"/>
      <c r="J88" s="122"/>
      <c r="S88" s="120"/>
      <c r="X88" s="124"/>
    </row>
    <row r="89" spans="1:24" ht="12.75" customHeight="1" x14ac:dyDescent="0.25">
      <c r="A89" s="119"/>
      <c r="B89" s="119"/>
      <c r="C89" s="123"/>
      <c r="D89" s="122"/>
      <c r="E89" s="119"/>
      <c r="F89" s="122"/>
      <c r="G89" s="122"/>
      <c r="H89" s="122"/>
      <c r="I89" s="122"/>
      <c r="J89" s="122"/>
      <c r="S89" s="120"/>
      <c r="X89" s="124"/>
    </row>
    <row r="90" spans="1:24" ht="12.75" customHeight="1" x14ac:dyDescent="0.25">
      <c r="A90" s="119"/>
      <c r="B90" s="119"/>
      <c r="C90" s="123"/>
      <c r="D90" s="122"/>
      <c r="E90" s="119"/>
      <c r="F90" s="122"/>
      <c r="G90" s="122"/>
      <c r="H90" s="122"/>
      <c r="I90" s="122"/>
      <c r="J90" s="122"/>
      <c r="S90" s="120"/>
      <c r="X90" s="124"/>
    </row>
    <row r="91" spans="1:24" ht="12.75" customHeight="1" x14ac:dyDescent="0.25">
      <c r="A91" s="119"/>
      <c r="B91" s="119"/>
      <c r="C91" s="123"/>
      <c r="D91" s="122"/>
      <c r="E91" s="119"/>
      <c r="F91" s="122"/>
      <c r="G91" s="122"/>
      <c r="H91" s="122"/>
      <c r="I91" s="122"/>
      <c r="J91" s="122"/>
      <c r="S91" s="120"/>
      <c r="X91" s="124"/>
    </row>
    <row r="92" spans="1:24" ht="12.75" customHeight="1" x14ac:dyDescent="0.25">
      <c r="A92" s="119"/>
      <c r="B92" s="119"/>
      <c r="C92" s="123"/>
      <c r="D92" s="122"/>
      <c r="E92" s="119"/>
      <c r="F92" s="122"/>
      <c r="G92" s="122"/>
      <c r="H92" s="122"/>
      <c r="I92" s="122"/>
      <c r="J92" s="122"/>
      <c r="S92" s="120"/>
      <c r="X92" s="124"/>
    </row>
    <row r="93" spans="1:24" ht="12.75" customHeight="1" x14ac:dyDescent="0.25">
      <c r="A93" s="119"/>
      <c r="B93" s="119"/>
      <c r="C93" s="123"/>
      <c r="D93" s="122"/>
      <c r="E93" s="119"/>
      <c r="F93" s="122"/>
      <c r="G93" s="122"/>
      <c r="H93" s="122"/>
      <c r="I93" s="122"/>
      <c r="J93" s="122"/>
      <c r="S93" s="120"/>
      <c r="X93" s="124"/>
    </row>
    <row r="94" spans="1:24" ht="12.75" customHeight="1" x14ac:dyDescent="0.25">
      <c r="A94" s="119"/>
      <c r="B94" s="119"/>
      <c r="C94" s="123"/>
      <c r="D94" s="122"/>
      <c r="E94" s="119"/>
      <c r="F94" s="122"/>
      <c r="G94" s="122"/>
      <c r="H94" s="122"/>
      <c r="I94" s="122"/>
      <c r="J94" s="122"/>
      <c r="S94" s="120"/>
      <c r="X94" s="124"/>
    </row>
    <row r="95" spans="1:24" ht="12.75" customHeight="1" x14ac:dyDescent="0.25">
      <c r="A95" s="119"/>
      <c r="B95" s="119"/>
      <c r="C95" s="123"/>
      <c r="D95" s="122"/>
      <c r="E95" s="119"/>
      <c r="F95" s="122"/>
      <c r="G95" s="122"/>
      <c r="H95" s="122"/>
      <c r="I95" s="122"/>
      <c r="J95" s="122"/>
      <c r="S95" s="120"/>
      <c r="X95" s="124"/>
    </row>
    <row r="96" spans="1:24" ht="12.75" customHeight="1" x14ac:dyDescent="0.25">
      <c r="A96" s="119"/>
      <c r="B96" s="119"/>
      <c r="C96" s="123"/>
      <c r="D96" s="122"/>
      <c r="E96" s="119"/>
      <c r="F96" s="122"/>
      <c r="G96" s="122"/>
      <c r="H96" s="122"/>
      <c r="I96" s="122"/>
      <c r="J96" s="122"/>
      <c r="S96" s="120"/>
      <c r="X96" s="124"/>
    </row>
    <row r="97" spans="1:24" ht="12.75" customHeight="1" x14ac:dyDescent="0.25">
      <c r="A97" s="119"/>
      <c r="B97" s="119"/>
      <c r="C97" s="123"/>
      <c r="D97" s="122"/>
      <c r="E97" s="119"/>
      <c r="F97" s="122"/>
      <c r="G97" s="122"/>
      <c r="H97" s="122"/>
      <c r="I97" s="122"/>
      <c r="J97" s="122"/>
      <c r="S97" s="120"/>
      <c r="X97" s="124"/>
    </row>
    <row r="98" spans="1:24" ht="12.75" customHeight="1" x14ac:dyDescent="0.25">
      <c r="A98" s="119"/>
      <c r="B98" s="119"/>
      <c r="C98" s="123"/>
      <c r="D98" s="122"/>
      <c r="E98" s="119"/>
      <c r="F98" s="122"/>
      <c r="G98" s="122"/>
      <c r="H98" s="122"/>
      <c r="I98" s="122"/>
      <c r="J98" s="122"/>
      <c r="S98" s="120"/>
      <c r="X98" s="124"/>
    </row>
    <row r="99" spans="1:24" ht="12.75" customHeight="1" x14ac:dyDescent="0.25">
      <c r="A99" s="119"/>
      <c r="B99" s="119"/>
      <c r="C99" s="123"/>
      <c r="D99" s="122"/>
      <c r="E99" s="119"/>
      <c r="F99" s="122"/>
      <c r="G99" s="122"/>
      <c r="H99" s="122"/>
      <c r="I99" s="122"/>
      <c r="J99" s="122"/>
      <c r="S99" s="120"/>
      <c r="X99" s="124"/>
    </row>
    <row r="100" spans="1:24" ht="12.75" customHeight="1" x14ac:dyDescent="0.25">
      <c r="A100" s="119"/>
      <c r="B100" s="119"/>
      <c r="C100" s="123"/>
      <c r="D100" s="122"/>
      <c r="E100" s="119"/>
      <c r="F100" s="122"/>
      <c r="G100" s="122"/>
      <c r="H100" s="122"/>
      <c r="I100" s="122"/>
      <c r="J100" s="122"/>
      <c r="S100" s="120"/>
      <c r="X100" s="124"/>
    </row>
    <row r="101" spans="1:24" ht="12.75" customHeight="1" x14ac:dyDescent="0.25">
      <c r="A101" s="119"/>
      <c r="B101" s="119"/>
      <c r="C101" s="123"/>
      <c r="D101" s="122"/>
      <c r="E101" s="119"/>
      <c r="F101" s="122"/>
      <c r="G101" s="122"/>
      <c r="H101" s="122"/>
      <c r="I101" s="122"/>
      <c r="J101" s="122"/>
      <c r="S101" s="120"/>
      <c r="X101" s="124"/>
    </row>
    <row r="102" spans="1:24" ht="12.75" customHeight="1" x14ac:dyDescent="0.25">
      <c r="A102" s="119"/>
      <c r="B102" s="119"/>
      <c r="C102" s="123"/>
      <c r="D102" s="122"/>
      <c r="E102" s="119"/>
      <c r="F102" s="122"/>
      <c r="G102" s="122"/>
      <c r="H102" s="122"/>
      <c r="I102" s="122"/>
      <c r="J102" s="122"/>
      <c r="S102" s="120"/>
      <c r="X102" s="124"/>
    </row>
    <row r="103" spans="1:24" ht="12.75" customHeight="1" x14ac:dyDescent="0.25">
      <c r="A103" s="119"/>
      <c r="B103" s="119"/>
      <c r="C103" s="123"/>
      <c r="D103" s="122"/>
      <c r="E103" s="119"/>
      <c r="F103" s="122"/>
      <c r="G103" s="122"/>
      <c r="H103" s="122"/>
      <c r="I103" s="122"/>
      <c r="J103" s="122"/>
      <c r="S103" s="120"/>
      <c r="X103" s="124"/>
    </row>
    <row r="104" spans="1:24" ht="12.75" customHeight="1" x14ac:dyDescent="0.25">
      <c r="A104" s="119"/>
      <c r="B104" s="119"/>
      <c r="C104" s="123"/>
      <c r="D104" s="122"/>
      <c r="E104" s="119"/>
      <c r="F104" s="122"/>
      <c r="G104" s="122"/>
      <c r="H104" s="122"/>
      <c r="I104" s="122"/>
      <c r="J104" s="122"/>
      <c r="S104" s="120"/>
      <c r="X104" s="124"/>
    </row>
    <row r="105" spans="1:24" ht="12.75" customHeight="1" x14ac:dyDescent="0.25">
      <c r="A105" s="119"/>
      <c r="B105" s="119"/>
      <c r="C105" s="123"/>
      <c r="D105" s="122"/>
      <c r="E105" s="119"/>
      <c r="F105" s="122"/>
      <c r="G105" s="122"/>
      <c r="H105" s="122"/>
      <c r="I105" s="122"/>
      <c r="J105" s="122"/>
      <c r="S105" s="120"/>
      <c r="X105" s="124"/>
    </row>
    <row r="106" spans="1:24" ht="12.75" customHeight="1" x14ac:dyDescent="0.25">
      <c r="A106" s="119"/>
      <c r="B106" s="119"/>
      <c r="C106" s="123"/>
      <c r="D106" s="122"/>
      <c r="E106" s="119"/>
      <c r="F106" s="122"/>
      <c r="G106" s="122"/>
      <c r="H106" s="122"/>
      <c r="I106" s="122"/>
      <c r="J106" s="122"/>
      <c r="S106" s="120"/>
      <c r="X106" s="124"/>
    </row>
    <row r="107" spans="1:24" ht="12.75" customHeight="1" x14ac:dyDescent="0.25">
      <c r="A107" s="119"/>
      <c r="B107" s="119"/>
      <c r="C107" s="123"/>
      <c r="D107" s="122"/>
      <c r="E107" s="119"/>
      <c r="F107" s="122"/>
      <c r="G107" s="122"/>
      <c r="H107" s="122"/>
      <c r="I107" s="122"/>
      <c r="J107" s="122"/>
      <c r="S107" s="120"/>
      <c r="X107" s="124"/>
    </row>
    <row r="108" spans="1:24" ht="12.75" customHeight="1" x14ac:dyDescent="0.25">
      <c r="A108" s="119"/>
      <c r="B108" s="119"/>
      <c r="C108" s="123"/>
      <c r="D108" s="122"/>
      <c r="E108" s="119"/>
      <c r="F108" s="122"/>
      <c r="G108" s="122"/>
      <c r="H108" s="122"/>
      <c r="I108" s="122"/>
      <c r="J108" s="122"/>
      <c r="S108" s="120"/>
      <c r="X108" s="124"/>
    </row>
    <row r="109" spans="1:24" ht="12.75" customHeight="1" x14ac:dyDescent="0.25">
      <c r="A109" s="119"/>
      <c r="B109" s="119"/>
      <c r="C109" s="123"/>
      <c r="D109" s="122"/>
      <c r="E109" s="119"/>
      <c r="F109" s="122"/>
      <c r="G109" s="122"/>
      <c r="H109" s="122"/>
      <c r="I109" s="122"/>
      <c r="J109" s="122"/>
      <c r="S109" s="120"/>
      <c r="X109" s="124"/>
    </row>
    <row r="110" spans="1:24" ht="12.75" customHeight="1" x14ac:dyDescent="0.25">
      <c r="A110" s="119"/>
      <c r="B110" s="119"/>
      <c r="C110" s="123"/>
      <c r="D110" s="122"/>
      <c r="E110" s="119"/>
      <c r="F110" s="122"/>
      <c r="G110" s="122"/>
      <c r="H110" s="122"/>
      <c r="I110" s="122"/>
      <c r="J110" s="122"/>
      <c r="S110" s="120"/>
      <c r="X110" s="124"/>
    </row>
    <row r="111" spans="1:24" ht="12.75" customHeight="1" x14ac:dyDescent="0.25">
      <c r="A111" s="119"/>
      <c r="B111" s="119"/>
      <c r="C111" s="123"/>
      <c r="D111" s="122"/>
      <c r="E111" s="119"/>
      <c r="F111" s="122"/>
      <c r="G111" s="122"/>
      <c r="H111" s="122"/>
      <c r="I111" s="122"/>
      <c r="J111" s="122"/>
      <c r="S111" s="120"/>
      <c r="X111" s="124"/>
    </row>
    <row r="112" spans="1:24" ht="12.75" customHeight="1" x14ac:dyDescent="0.25">
      <c r="A112" s="119"/>
      <c r="B112" s="119"/>
      <c r="C112" s="123"/>
      <c r="D112" s="122"/>
      <c r="E112" s="119"/>
      <c r="F112" s="122"/>
      <c r="G112" s="122"/>
      <c r="H112" s="122"/>
      <c r="I112" s="122"/>
      <c r="J112" s="122"/>
      <c r="S112" s="120"/>
      <c r="X112" s="124"/>
    </row>
    <row r="113" spans="1:24" ht="12.75" customHeight="1" x14ac:dyDescent="0.25">
      <c r="A113" s="119"/>
      <c r="B113" s="119"/>
      <c r="C113" s="123"/>
      <c r="D113" s="122"/>
      <c r="E113" s="119"/>
      <c r="F113" s="122"/>
      <c r="G113" s="122"/>
      <c r="H113" s="122"/>
      <c r="I113" s="122"/>
      <c r="J113" s="122"/>
      <c r="S113" s="120"/>
      <c r="X113" s="124"/>
    </row>
    <row r="114" spans="1:24" ht="12.75" customHeight="1" x14ac:dyDescent="0.25">
      <c r="A114" s="119"/>
      <c r="B114" s="119"/>
      <c r="C114" s="123"/>
      <c r="D114" s="122"/>
      <c r="E114" s="119"/>
      <c r="F114" s="122"/>
      <c r="G114" s="122"/>
      <c r="H114" s="122"/>
      <c r="I114" s="122"/>
      <c r="J114" s="122"/>
      <c r="S114" s="120"/>
      <c r="X114" s="124"/>
    </row>
    <row r="115" spans="1:24" ht="12.75" customHeight="1" x14ac:dyDescent="0.25">
      <c r="A115" s="119"/>
      <c r="B115" s="119"/>
      <c r="C115" s="123"/>
      <c r="D115" s="122"/>
      <c r="E115" s="119"/>
      <c r="F115" s="122"/>
      <c r="G115" s="122"/>
      <c r="H115" s="122"/>
      <c r="I115" s="122"/>
      <c r="J115" s="122"/>
      <c r="S115" s="120"/>
      <c r="X115" s="124"/>
    </row>
    <row r="116" spans="1:24" ht="12.75" customHeight="1" x14ac:dyDescent="0.25">
      <c r="A116" s="119"/>
      <c r="B116" s="119"/>
      <c r="C116" s="123"/>
      <c r="D116" s="122"/>
      <c r="E116" s="119"/>
      <c r="F116" s="122"/>
      <c r="G116" s="122"/>
      <c r="H116" s="122"/>
      <c r="I116" s="122"/>
      <c r="J116" s="122"/>
      <c r="S116" s="120"/>
      <c r="X116" s="124"/>
    </row>
    <row r="117" spans="1:24" ht="12.75" customHeight="1" x14ac:dyDescent="0.25">
      <c r="A117" s="119"/>
      <c r="B117" s="119"/>
      <c r="C117" s="123"/>
      <c r="D117" s="122"/>
      <c r="E117" s="119"/>
      <c r="F117" s="122"/>
      <c r="G117" s="122"/>
      <c r="H117" s="122"/>
      <c r="I117" s="122"/>
      <c r="J117" s="122"/>
      <c r="S117" s="120"/>
      <c r="X117" s="124"/>
    </row>
    <row r="118" spans="1:24" ht="12.75" customHeight="1" x14ac:dyDescent="0.25">
      <c r="A118" s="119"/>
      <c r="B118" s="119"/>
      <c r="C118" s="123"/>
      <c r="D118" s="122"/>
      <c r="E118" s="119"/>
      <c r="F118" s="122"/>
      <c r="G118" s="122"/>
      <c r="H118" s="122"/>
      <c r="I118" s="122"/>
      <c r="J118" s="122"/>
      <c r="S118" s="120"/>
      <c r="X118" s="124"/>
    </row>
    <row r="119" spans="1:24" ht="12.75" customHeight="1" x14ac:dyDescent="0.25">
      <c r="A119" s="119"/>
      <c r="B119" s="119"/>
      <c r="C119" s="123"/>
      <c r="D119" s="122"/>
      <c r="E119" s="119"/>
      <c r="F119" s="122"/>
      <c r="G119" s="122"/>
      <c r="H119" s="122"/>
      <c r="I119" s="122"/>
      <c r="J119" s="122"/>
      <c r="S119" s="120"/>
      <c r="X119" s="124"/>
    </row>
    <row r="120" spans="1:24" ht="12.75" customHeight="1" x14ac:dyDescent="0.25">
      <c r="A120" s="119"/>
      <c r="B120" s="119"/>
      <c r="C120" s="123"/>
      <c r="D120" s="122"/>
      <c r="E120" s="119"/>
      <c r="F120" s="122"/>
      <c r="G120" s="122"/>
      <c r="H120" s="122"/>
      <c r="I120" s="122"/>
      <c r="J120" s="122"/>
      <c r="S120" s="120"/>
      <c r="X120" s="124"/>
    </row>
    <row r="121" spans="1:24" ht="12.75" customHeight="1" x14ac:dyDescent="0.25">
      <c r="A121" s="119"/>
      <c r="B121" s="119"/>
      <c r="C121" s="123"/>
      <c r="D121" s="122"/>
      <c r="E121" s="119"/>
      <c r="F121" s="122"/>
      <c r="G121" s="122"/>
      <c r="H121" s="122"/>
      <c r="I121" s="122"/>
      <c r="J121" s="122"/>
      <c r="S121" s="120"/>
      <c r="X121" s="124"/>
    </row>
    <row r="122" spans="1:24" ht="12.75" customHeight="1" x14ac:dyDescent="0.25">
      <c r="A122" s="119"/>
      <c r="B122" s="119"/>
      <c r="C122" s="123"/>
      <c r="D122" s="122"/>
      <c r="E122" s="119"/>
      <c r="F122" s="122"/>
      <c r="G122" s="122"/>
      <c r="H122" s="122"/>
      <c r="I122" s="122"/>
      <c r="J122" s="122"/>
      <c r="S122" s="120"/>
      <c r="X122" s="124"/>
    </row>
    <row r="123" spans="1:24" ht="12.75" customHeight="1" x14ac:dyDescent="0.25">
      <c r="A123" s="119"/>
      <c r="B123" s="119"/>
      <c r="C123" s="123"/>
      <c r="D123" s="122"/>
      <c r="E123" s="119"/>
      <c r="F123" s="122"/>
      <c r="G123" s="122"/>
      <c r="H123" s="122"/>
      <c r="I123" s="122"/>
      <c r="J123" s="122"/>
      <c r="S123" s="120"/>
      <c r="X123" s="124"/>
    </row>
    <row r="124" spans="1:24" ht="12.75" customHeight="1" x14ac:dyDescent="0.25">
      <c r="A124" s="119"/>
      <c r="B124" s="119"/>
      <c r="C124" s="123"/>
      <c r="D124" s="122"/>
      <c r="E124" s="119"/>
      <c r="F124" s="122"/>
      <c r="G124" s="122"/>
      <c r="H124" s="122"/>
      <c r="I124" s="122"/>
      <c r="J124" s="122"/>
      <c r="S124" s="120"/>
      <c r="X124" s="124"/>
    </row>
    <row r="125" spans="1:24" ht="12.75" customHeight="1" x14ac:dyDescent="0.25">
      <c r="A125" s="119"/>
      <c r="B125" s="119"/>
      <c r="C125" s="123"/>
      <c r="D125" s="122"/>
      <c r="E125" s="119"/>
      <c r="F125" s="122"/>
      <c r="G125" s="122"/>
      <c r="H125" s="122"/>
      <c r="I125" s="122"/>
      <c r="J125" s="122"/>
      <c r="S125" s="120"/>
      <c r="X125" s="124"/>
    </row>
    <row r="126" spans="1:24" ht="12.75" customHeight="1" x14ac:dyDescent="0.25">
      <c r="A126" s="119"/>
      <c r="B126" s="119"/>
      <c r="C126" s="123"/>
      <c r="D126" s="122"/>
      <c r="E126" s="119"/>
      <c r="F126" s="122"/>
      <c r="G126" s="122"/>
      <c r="H126" s="122"/>
      <c r="I126" s="122"/>
      <c r="J126" s="122"/>
      <c r="S126" s="120"/>
      <c r="X126" s="124"/>
    </row>
    <row r="127" spans="1:24" ht="12.75" customHeight="1" x14ac:dyDescent="0.25">
      <c r="A127" s="119"/>
      <c r="B127" s="119"/>
      <c r="C127" s="123"/>
      <c r="D127" s="122"/>
      <c r="E127" s="119"/>
      <c r="F127" s="122"/>
      <c r="G127" s="122"/>
      <c r="H127" s="122"/>
      <c r="I127" s="122"/>
      <c r="J127" s="122"/>
      <c r="S127" s="120"/>
      <c r="X127" s="124"/>
    </row>
    <row r="128" spans="1:24" ht="12.75" customHeight="1" x14ac:dyDescent="0.25">
      <c r="A128" s="119"/>
      <c r="B128" s="119"/>
      <c r="C128" s="123"/>
      <c r="D128" s="122"/>
      <c r="E128" s="119"/>
      <c r="F128" s="122"/>
      <c r="G128" s="122"/>
      <c r="H128" s="122"/>
      <c r="I128" s="122"/>
      <c r="J128" s="122"/>
      <c r="S128" s="120"/>
      <c r="X128" s="124"/>
    </row>
    <row r="129" spans="1:24" ht="12.75" customHeight="1" x14ac:dyDescent="0.25">
      <c r="A129" s="119"/>
      <c r="B129" s="119"/>
      <c r="C129" s="123"/>
      <c r="D129" s="122"/>
      <c r="E129" s="119"/>
      <c r="F129" s="122"/>
      <c r="G129" s="122"/>
      <c r="H129" s="122"/>
      <c r="I129" s="122"/>
      <c r="J129" s="122"/>
      <c r="S129" s="120"/>
      <c r="X129" s="124"/>
    </row>
    <row r="130" spans="1:24" ht="12.75" customHeight="1" x14ac:dyDescent="0.25">
      <c r="A130" s="119"/>
      <c r="B130" s="119"/>
      <c r="C130" s="123"/>
      <c r="D130" s="122"/>
      <c r="E130" s="119"/>
      <c r="F130" s="122"/>
      <c r="G130" s="122"/>
      <c r="H130" s="122"/>
      <c r="I130" s="122"/>
      <c r="J130" s="122"/>
      <c r="S130" s="120"/>
      <c r="X130" s="124"/>
    </row>
    <row r="131" spans="1:24" ht="12.75" customHeight="1" x14ac:dyDescent="0.25">
      <c r="A131" s="119"/>
      <c r="B131" s="119"/>
      <c r="C131" s="123"/>
      <c r="D131" s="122"/>
      <c r="E131" s="119"/>
      <c r="F131" s="122"/>
      <c r="G131" s="122"/>
      <c r="H131" s="122"/>
      <c r="I131" s="122"/>
      <c r="J131" s="122"/>
      <c r="S131" s="120"/>
      <c r="X131" s="124"/>
    </row>
    <row r="132" spans="1:24" ht="12.75" customHeight="1" x14ac:dyDescent="0.25">
      <c r="A132" s="119"/>
      <c r="B132" s="119"/>
      <c r="C132" s="123"/>
      <c r="D132" s="122"/>
      <c r="E132" s="119"/>
      <c r="F132" s="122"/>
      <c r="G132" s="122"/>
      <c r="H132" s="122"/>
      <c r="I132" s="122"/>
      <c r="J132" s="122"/>
      <c r="S132" s="120"/>
      <c r="X132" s="124"/>
    </row>
    <row r="133" spans="1:24" ht="12.75" customHeight="1" x14ac:dyDescent="0.25">
      <c r="A133" s="119"/>
      <c r="B133" s="119"/>
      <c r="C133" s="123"/>
      <c r="D133" s="122"/>
      <c r="E133" s="119"/>
      <c r="F133" s="122"/>
      <c r="G133" s="122"/>
      <c r="H133" s="122"/>
      <c r="I133" s="122"/>
      <c r="J133" s="122"/>
      <c r="S133" s="120"/>
      <c r="X133" s="124"/>
    </row>
    <row r="134" spans="1:24" ht="12.75" customHeight="1" x14ac:dyDescent="0.25">
      <c r="A134" s="119"/>
      <c r="B134" s="119"/>
      <c r="C134" s="123"/>
      <c r="D134" s="122"/>
      <c r="E134" s="119"/>
      <c r="F134" s="122"/>
      <c r="G134" s="122"/>
      <c r="H134" s="122"/>
      <c r="I134" s="122"/>
      <c r="J134" s="122"/>
      <c r="S134" s="120"/>
      <c r="X134" s="124"/>
    </row>
    <row r="135" spans="1:24" ht="12.75" customHeight="1" x14ac:dyDescent="0.25">
      <c r="A135" s="119"/>
      <c r="B135" s="119"/>
      <c r="C135" s="123"/>
      <c r="D135" s="122"/>
      <c r="E135" s="119"/>
      <c r="F135" s="122"/>
      <c r="G135" s="122"/>
      <c r="H135" s="122"/>
      <c r="I135" s="122"/>
      <c r="J135" s="122"/>
      <c r="S135" s="120"/>
      <c r="X135" s="124"/>
    </row>
    <row r="136" spans="1:24" ht="12.75" customHeight="1" x14ac:dyDescent="0.25">
      <c r="A136" s="119"/>
      <c r="B136" s="119"/>
      <c r="C136" s="123"/>
      <c r="D136" s="122"/>
      <c r="E136" s="119"/>
      <c r="F136" s="122"/>
      <c r="G136" s="122"/>
      <c r="H136" s="122"/>
      <c r="I136" s="122"/>
      <c r="J136" s="122"/>
      <c r="S136" s="120"/>
      <c r="X136" s="124"/>
    </row>
    <row r="137" spans="1:24" ht="12.75" customHeight="1" x14ac:dyDescent="0.25">
      <c r="A137" s="119"/>
      <c r="B137" s="119"/>
      <c r="C137" s="123"/>
      <c r="D137" s="122"/>
      <c r="E137" s="119"/>
      <c r="F137" s="122"/>
      <c r="G137" s="122"/>
      <c r="H137" s="122"/>
      <c r="I137" s="122"/>
      <c r="J137" s="122"/>
      <c r="S137" s="120"/>
      <c r="X137" s="124"/>
    </row>
    <row r="138" spans="1:24" ht="12.75" customHeight="1" x14ac:dyDescent="0.25">
      <c r="A138" s="119"/>
      <c r="B138" s="119"/>
      <c r="C138" s="123"/>
      <c r="D138" s="122"/>
      <c r="E138" s="119"/>
      <c r="F138" s="122"/>
      <c r="G138" s="122"/>
      <c r="H138" s="122"/>
      <c r="I138" s="122"/>
      <c r="J138" s="122"/>
      <c r="S138" s="120"/>
      <c r="X138" s="124"/>
    </row>
    <row r="139" spans="1:24" ht="12.75" customHeight="1" x14ac:dyDescent="0.25">
      <c r="A139" s="119"/>
      <c r="B139" s="119"/>
      <c r="C139" s="123"/>
      <c r="D139" s="122"/>
      <c r="E139" s="119"/>
      <c r="F139" s="122"/>
      <c r="G139" s="122"/>
      <c r="H139" s="122"/>
      <c r="I139" s="122"/>
      <c r="J139" s="122"/>
      <c r="S139" s="120"/>
      <c r="X139" s="124"/>
    </row>
    <row r="140" spans="1:24" ht="12.75" customHeight="1" x14ac:dyDescent="0.25">
      <c r="A140" s="119"/>
      <c r="B140" s="119"/>
      <c r="C140" s="123"/>
      <c r="D140" s="122"/>
      <c r="E140" s="119"/>
      <c r="F140" s="122"/>
      <c r="G140" s="122"/>
      <c r="H140" s="122"/>
      <c r="I140" s="122"/>
      <c r="J140" s="122"/>
      <c r="S140" s="120"/>
      <c r="X140" s="124"/>
    </row>
    <row r="141" spans="1:24" ht="12.75" customHeight="1" x14ac:dyDescent="0.25">
      <c r="A141" s="119"/>
      <c r="B141" s="119"/>
      <c r="C141" s="123"/>
      <c r="D141" s="122"/>
      <c r="E141" s="119"/>
      <c r="F141" s="122"/>
      <c r="G141" s="122"/>
      <c r="H141" s="122"/>
      <c r="I141" s="122"/>
      <c r="J141" s="122"/>
      <c r="S141" s="120"/>
      <c r="X141" s="124"/>
    </row>
    <row r="142" spans="1:24" ht="12.75" customHeight="1" x14ac:dyDescent="0.25">
      <c r="A142" s="119"/>
      <c r="B142" s="119"/>
      <c r="C142" s="123"/>
      <c r="D142" s="122"/>
      <c r="E142" s="119"/>
      <c r="F142" s="122"/>
      <c r="G142" s="122"/>
      <c r="H142" s="122"/>
      <c r="I142" s="122"/>
      <c r="J142" s="122"/>
      <c r="S142" s="120"/>
      <c r="X142" s="124"/>
    </row>
    <row r="143" spans="1:24" ht="12.75" customHeight="1" x14ac:dyDescent="0.25">
      <c r="A143" s="119"/>
      <c r="B143" s="119"/>
      <c r="C143" s="123"/>
      <c r="D143" s="122"/>
      <c r="E143" s="119"/>
      <c r="F143" s="122"/>
      <c r="G143" s="122"/>
      <c r="H143" s="122"/>
      <c r="I143" s="122"/>
      <c r="J143" s="122"/>
      <c r="S143" s="120"/>
      <c r="X143" s="124"/>
    </row>
    <row r="144" spans="1:24" ht="12.75" customHeight="1" x14ac:dyDescent="0.25">
      <c r="A144" s="119"/>
      <c r="B144" s="119"/>
      <c r="C144" s="123"/>
      <c r="D144" s="122"/>
      <c r="E144" s="119"/>
      <c r="F144" s="122"/>
      <c r="G144" s="122"/>
      <c r="H144" s="122"/>
      <c r="I144" s="122"/>
      <c r="J144" s="122"/>
      <c r="S144" s="120"/>
      <c r="X144" s="124"/>
    </row>
    <row r="145" spans="1:24" ht="12.75" customHeight="1" x14ac:dyDescent="0.25">
      <c r="A145" s="119"/>
      <c r="B145" s="119"/>
      <c r="C145" s="123"/>
      <c r="D145" s="122"/>
      <c r="E145" s="119"/>
      <c r="F145" s="122"/>
      <c r="G145" s="122"/>
      <c r="H145" s="122"/>
      <c r="I145" s="122"/>
      <c r="J145" s="122"/>
      <c r="S145" s="120"/>
      <c r="X145" s="124"/>
    </row>
    <row r="146" spans="1:24" ht="12.75" customHeight="1" x14ac:dyDescent="0.25">
      <c r="A146" s="119"/>
      <c r="B146" s="119"/>
      <c r="C146" s="123"/>
      <c r="D146" s="122"/>
      <c r="E146" s="119"/>
      <c r="F146" s="122"/>
      <c r="G146" s="122"/>
      <c r="H146" s="122"/>
      <c r="I146" s="122"/>
      <c r="J146" s="122"/>
      <c r="S146" s="120"/>
      <c r="X146" s="124"/>
    </row>
    <row r="147" spans="1:24" ht="12.75" customHeight="1" x14ac:dyDescent="0.25">
      <c r="A147" s="119"/>
      <c r="B147" s="119"/>
      <c r="C147" s="123"/>
      <c r="D147" s="122"/>
      <c r="E147" s="119"/>
      <c r="F147" s="122"/>
      <c r="G147" s="122"/>
      <c r="H147" s="122"/>
      <c r="I147" s="122"/>
      <c r="J147" s="122"/>
      <c r="S147" s="120"/>
      <c r="X147" s="124"/>
    </row>
    <row r="148" spans="1:24" ht="12.75" customHeight="1" x14ac:dyDescent="0.25">
      <c r="A148" s="119"/>
      <c r="B148" s="119"/>
      <c r="C148" s="123"/>
      <c r="D148" s="122"/>
      <c r="E148" s="119"/>
      <c r="F148" s="122"/>
      <c r="G148" s="122"/>
      <c r="H148" s="122"/>
      <c r="I148" s="122"/>
      <c r="J148" s="122"/>
      <c r="S148" s="120"/>
      <c r="X148" s="124"/>
    </row>
    <row r="149" spans="1:24" ht="12.75" customHeight="1" x14ac:dyDescent="0.25">
      <c r="A149" s="119"/>
      <c r="B149" s="119"/>
      <c r="C149" s="123"/>
      <c r="D149" s="122"/>
      <c r="E149" s="119"/>
      <c r="F149" s="122"/>
      <c r="G149" s="122"/>
      <c r="H149" s="122"/>
      <c r="I149" s="122"/>
      <c r="J149" s="122"/>
      <c r="S149" s="120"/>
      <c r="X149" s="124"/>
    </row>
    <row r="150" spans="1:24" ht="12.75" customHeight="1" x14ac:dyDescent="0.25">
      <c r="A150" s="119"/>
      <c r="B150" s="119"/>
      <c r="C150" s="123"/>
      <c r="D150" s="122"/>
      <c r="E150" s="119"/>
      <c r="F150" s="122"/>
      <c r="G150" s="122"/>
      <c r="H150" s="122"/>
      <c r="I150" s="122"/>
      <c r="J150" s="122"/>
      <c r="S150" s="120"/>
      <c r="X150" s="124"/>
    </row>
    <row r="151" spans="1:24" ht="12.75" customHeight="1" x14ac:dyDescent="0.25">
      <c r="A151" s="119"/>
      <c r="B151" s="119"/>
      <c r="C151" s="123"/>
      <c r="D151" s="122"/>
      <c r="E151" s="119"/>
      <c r="F151" s="122"/>
      <c r="G151" s="122"/>
      <c r="H151" s="122"/>
      <c r="I151" s="122"/>
      <c r="J151" s="122"/>
      <c r="S151" s="120"/>
      <c r="X151" s="124"/>
    </row>
    <row r="152" spans="1:24" ht="12.75" customHeight="1" x14ac:dyDescent="0.25">
      <c r="A152" s="119"/>
      <c r="B152" s="119"/>
      <c r="C152" s="123"/>
      <c r="D152" s="122"/>
      <c r="E152" s="119"/>
      <c r="F152" s="122"/>
      <c r="G152" s="122"/>
      <c r="H152" s="122"/>
      <c r="I152" s="122"/>
      <c r="J152" s="122"/>
      <c r="S152" s="120"/>
      <c r="X152" s="124"/>
    </row>
    <row r="153" spans="1:24" ht="12.75" customHeight="1" x14ac:dyDescent="0.25">
      <c r="A153" s="119"/>
      <c r="B153" s="119"/>
      <c r="C153" s="123"/>
      <c r="D153" s="122"/>
      <c r="E153" s="119"/>
      <c r="F153" s="122"/>
      <c r="G153" s="122"/>
      <c r="H153" s="122"/>
      <c r="I153" s="122"/>
      <c r="J153" s="122"/>
      <c r="S153" s="120"/>
      <c r="X153" s="124"/>
    </row>
    <row r="154" spans="1:24" ht="12.75" customHeight="1" x14ac:dyDescent="0.25">
      <c r="A154" s="119"/>
      <c r="B154" s="119"/>
      <c r="C154" s="123"/>
      <c r="D154" s="122"/>
      <c r="E154" s="119"/>
      <c r="F154" s="122"/>
      <c r="G154" s="122"/>
      <c r="H154" s="122"/>
      <c r="I154" s="122"/>
      <c r="J154" s="122"/>
      <c r="S154" s="120"/>
      <c r="X154" s="124"/>
    </row>
    <row r="155" spans="1:24" ht="12.75" customHeight="1" x14ac:dyDescent="0.25">
      <c r="A155" s="119"/>
      <c r="B155" s="119"/>
      <c r="C155" s="123"/>
      <c r="D155" s="122"/>
      <c r="E155" s="119"/>
      <c r="F155" s="122"/>
      <c r="G155" s="122"/>
      <c r="H155" s="122"/>
      <c r="I155" s="122"/>
      <c r="J155" s="122"/>
      <c r="S155" s="120"/>
      <c r="X155" s="124"/>
    </row>
    <row r="156" spans="1:24" ht="12.75" customHeight="1" x14ac:dyDescent="0.25">
      <c r="A156" s="119"/>
      <c r="B156" s="119"/>
      <c r="C156" s="123"/>
      <c r="D156" s="122"/>
      <c r="E156" s="119"/>
      <c r="F156" s="122"/>
      <c r="G156" s="122"/>
      <c r="H156" s="122"/>
      <c r="I156" s="122"/>
      <c r="J156" s="122"/>
      <c r="S156" s="120"/>
      <c r="X156" s="124"/>
    </row>
    <row r="157" spans="1:24" ht="12.75" customHeight="1" x14ac:dyDescent="0.25">
      <c r="A157" s="119"/>
      <c r="B157" s="119"/>
      <c r="C157" s="123"/>
      <c r="D157" s="122"/>
      <c r="E157" s="119"/>
      <c r="F157" s="122"/>
      <c r="G157" s="122"/>
      <c r="H157" s="122"/>
      <c r="I157" s="122"/>
      <c r="J157" s="122"/>
      <c r="S157" s="120"/>
      <c r="X157" s="124"/>
    </row>
    <row r="158" spans="1:24" ht="12.75" customHeight="1" x14ac:dyDescent="0.25">
      <c r="A158" s="119"/>
      <c r="B158" s="119"/>
      <c r="C158" s="123"/>
      <c r="D158" s="122"/>
      <c r="E158" s="119"/>
      <c r="F158" s="122"/>
      <c r="G158" s="122"/>
      <c r="H158" s="122"/>
      <c r="I158" s="122"/>
      <c r="J158" s="122"/>
      <c r="S158" s="120"/>
      <c r="X158" s="124"/>
    </row>
    <row r="159" spans="1:24" ht="12.75" customHeight="1" x14ac:dyDescent="0.25">
      <c r="A159" s="119"/>
      <c r="B159" s="119"/>
      <c r="C159" s="123"/>
      <c r="D159" s="122"/>
      <c r="E159" s="119"/>
      <c r="F159" s="122"/>
      <c r="G159" s="122"/>
      <c r="H159" s="122"/>
      <c r="I159" s="122"/>
      <c r="J159" s="122"/>
      <c r="S159" s="120"/>
      <c r="X159" s="124"/>
    </row>
    <row r="160" spans="1:24" ht="12.75" customHeight="1" x14ac:dyDescent="0.25">
      <c r="A160" s="119"/>
      <c r="B160" s="119"/>
      <c r="C160" s="123"/>
      <c r="D160" s="122"/>
      <c r="E160" s="119"/>
      <c r="F160" s="122"/>
      <c r="G160" s="122"/>
      <c r="H160" s="122"/>
      <c r="I160" s="122"/>
      <c r="J160" s="122"/>
      <c r="S160" s="120"/>
      <c r="X160" s="124"/>
    </row>
    <row r="161" spans="1:24" ht="12.75" customHeight="1" x14ac:dyDescent="0.25">
      <c r="A161" s="119"/>
      <c r="B161" s="119"/>
      <c r="C161" s="123"/>
      <c r="D161" s="122"/>
      <c r="E161" s="119"/>
      <c r="F161" s="122"/>
      <c r="G161" s="122"/>
      <c r="H161" s="122"/>
      <c r="I161" s="122"/>
      <c r="J161" s="122"/>
      <c r="S161" s="120"/>
      <c r="X161" s="124"/>
    </row>
    <row r="162" spans="1:24" ht="12.75" customHeight="1" x14ac:dyDescent="0.25">
      <c r="A162" s="119"/>
      <c r="B162" s="119"/>
      <c r="C162" s="123"/>
      <c r="D162" s="122"/>
      <c r="E162" s="119"/>
      <c r="F162" s="122"/>
      <c r="G162" s="122"/>
      <c r="H162" s="122"/>
      <c r="I162" s="122"/>
      <c r="J162" s="122"/>
      <c r="S162" s="120"/>
      <c r="X162" s="124"/>
    </row>
    <row r="163" spans="1:24" ht="12.75" customHeight="1" x14ac:dyDescent="0.25">
      <c r="A163" s="119"/>
      <c r="B163" s="119"/>
      <c r="C163" s="123"/>
      <c r="D163" s="122"/>
      <c r="E163" s="119"/>
      <c r="F163" s="122"/>
      <c r="G163" s="122"/>
      <c r="H163" s="122"/>
      <c r="I163" s="122"/>
      <c r="J163" s="122"/>
      <c r="S163" s="120"/>
      <c r="X163" s="124"/>
    </row>
    <row r="164" spans="1:24" ht="12.75" customHeight="1" x14ac:dyDescent="0.25">
      <c r="A164" s="119"/>
      <c r="B164" s="119"/>
      <c r="C164" s="123"/>
      <c r="D164" s="122"/>
      <c r="E164" s="119"/>
      <c r="F164" s="122"/>
      <c r="G164" s="122"/>
      <c r="H164" s="122"/>
      <c r="I164" s="122"/>
      <c r="J164" s="122"/>
      <c r="S164" s="120"/>
      <c r="X164" s="124"/>
    </row>
    <row r="165" spans="1:24" ht="12.75" customHeight="1" x14ac:dyDescent="0.25">
      <c r="A165" s="119"/>
      <c r="B165" s="119"/>
      <c r="C165" s="123"/>
      <c r="D165" s="122"/>
      <c r="E165" s="119"/>
      <c r="F165" s="122"/>
      <c r="G165" s="122"/>
      <c r="H165" s="122"/>
      <c r="I165" s="122"/>
      <c r="J165" s="122"/>
      <c r="S165" s="120"/>
      <c r="X165" s="124"/>
    </row>
    <row r="166" spans="1:24" ht="12.75" customHeight="1" x14ac:dyDescent="0.25">
      <c r="A166" s="119"/>
      <c r="B166" s="119"/>
      <c r="C166" s="123"/>
      <c r="D166" s="122"/>
      <c r="E166" s="119"/>
      <c r="F166" s="122"/>
      <c r="G166" s="122"/>
      <c r="H166" s="122"/>
      <c r="I166" s="122"/>
      <c r="J166" s="122"/>
      <c r="S166" s="120"/>
      <c r="X166" s="124"/>
    </row>
    <row r="167" spans="1:24" ht="12.75" customHeight="1" x14ac:dyDescent="0.25">
      <c r="A167" s="119"/>
      <c r="B167" s="119"/>
      <c r="C167" s="123"/>
      <c r="D167" s="122"/>
      <c r="E167" s="119"/>
      <c r="F167" s="122"/>
      <c r="G167" s="122"/>
      <c r="H167" s="122"/>
      <c r="I167" s="122"/>
      <c r="J167" s="122"/>
      <c r="S167" s="120"/>
      <c r="X167" s="124"/>
    </row>
    <row r="168" spans="1:24" ht="12.75" customHeight="1" x14ac:dyDescent="0.25">
      <c r="A168" s="119"/>
      <c r="B168" s="119"/>
      <c r="C168" s="123"/>
      <c r="D168" s="122"/>
      <c r="E168" s="119"/>
      <c r="F168" s="122"/>
      <c r="G168" s="122"/>
      <c r="H168" s="122"/>
      <c r="I168" s="122"/>
      <c r="J168" s="122"/>
      <c r="S168" s="120"/>
      <c r="X168" s="124"/>
    </row>
    <row r="169" spans="1:24" ht="12.75" customHeight="1" x14ac:dyDescent="0.25">
      <c r="A169" s="119"/>
      <c r="B169" s="119"/>
      <c r="C169" s="123"/>
      <c r="D169" s="122"/>
      <c r="E169" s="119"/>
      <c r="F169" s="122"/>
      <c r="G169" s="122"/>
      <c r="H169" s="122"/>
      <c r="I169" s="122"/>
      <c r="J169" s="122"/>
      <c r="S169" s="120"/>
      <c r="X169" s="124"/>
    </row>
    <row r="170" spans="1:24" ht="12.75" customHeight="1" x14ac:dyDescent="0.25">
      <c r="A170" s="119"/>
      <c r="B170" s="119"/>
      <c r="C170" s="123"/>
      <c r="D170" s="122"/>
      <c r="E170" s="119"/>
      <c r="F170" s="122"/>
      <c r="G170" s="122"/>
      <c r="H170" s="122"/>
      <c r="I170" s="122"/>
      <c r="J170" s="122"/>
      <c r="S170" s="120"/>
      <c r="X170" s="124"/>
    </row>
    <row r="171" spans="1:24" ht="12.75" customHeight="1" x14ac:dyDescent="0.25">
      <c r="A171" s="119"/>
      <c r="B171" s="119"/>
      <c r="C171" s="123"/>
      <c r="D171" s="122"/>
      <c r="E171" s="119"/>
      <c r="F171" s="122"/>
      <c r="G171" s="122"/>
      <c r="H171" s="122"/>
      <c r="I171" s="122"/>
      <c r="J171" s="122"/>
      <c r="S171" s="120"/>
      <c r="X171" s="124"/>
    </row>
    <row r="172" spans="1:24" ht="12.75" customHeight="1" x14ac:dyDescent="0.25">
      <c r="A172" s="119"/>
      <c r="B172" s="119"/>
      <c r="C172" s="123"/>
      <c r="D172" s="122"/>
      <c r="E172" s="119"/>
      <c r="F172" s="122"/>
      <c r="G172" s="122"/>
      <c r="H172" s="122"/>
      <c r="I172" s="122"/>
      <c r="J172" s="122"/>
      <c r="S172" s="120"/>
      <c r="X172" s="124"/>
    </row>
    <row r="173" spans="1:24" ht="12.75" customHeight="1" x14ac:dyDescent="0.25">
      <c r="A173" s="119"/>
      <c r="B173" s="119"/>
      <c r="C173" s="123"/>
      <c r="D173" s="122"/>
      <c r="E173" s="119"/>
      <c r="F173" s="122"/>
      <c r="G173" s="122"/>
      <c r="H173" s="122"/>
      <c r="I173" s="122"/>
      <c r="J173" s="122"/>
      <c r="S173" s="120"/>
      <c r="X173" s="124"/>
    </row>
    <row r="174" spans="1:24" ht="12.75" customHeight="1" x14ac:dyDescent="0.25">
      <c r="A174" s="119"/>
      <c r="B174" s="119"/>
      <c r="C174" s="123"/>
      <c r="D174" s="122"/>
      <c r="E174" s="119"/>
      <c r="F174" s="122"/>
      <c r="G174" s="122"/>
      <c r="H174" s="122"/>
      <c r="I174" s="122"/>
      <c r="J174" s="122"/>
      <c r="S174" s="120"/>
      <c r="X174" s="124"/>
    </row>
    <row r="175" spans="1:24" ht="12.75" customHeight="1" x14ac:dyDescent="0.25">
      <c r="A175" s="119"/>
      <c r="B175" s="119"/>
      <c r="C175" s="123"/>
      <c r="D175" s="122"/>
      <c r="E175" s="119"/>
      <c r="F175" s="122"/>
      <c r="G175" s="122"/>
      <c r="H175" s="122"/>
      <c r="I175" s="122"/>
      <c r="J175" s="122"/>
      <c r="S175" s="120"/>
      <c r="X175" s="124"/>
    </row>
    <row r="176" spans="1:24" ht="12.75" customHeight="1" x14ac:dyDescent="0.25">
      <c r="A176" s="119"/>
      <c r="B176" s="119"/>
      <c r="C176" s="123"/>
      <c r="D176" s="122"/>
      <c r="E176" s="119"/>
      <c r="F176" s="122"/>
      <c r="G176" s="122"/>
      <c r="H176" s="122"/>
      <c r="I176" s="122"/>
      <c r="J176" s="122"/>
      <c r="S176" s="120"/>
      <c r="X176" s="124"/>
    </row>
    <row r="177" spans="1:24" ht="12.75" customHeight="1" x14ac:dyDescent="0.25">
      <c r="A177" s="119"/>
      <c r="B177" s="119"/>
      <c r="C177" s="123"/>
      <c r="D177" s="122"/>
      <c r="E177" s="119"/>
      <c r="F177" s="122"/>
      <c r="G177" s="122"/>
      <c r="H177" s="122"/>
      <c r="I177" s="122"/>
      <c r="J177" s="122"/>
      <c r="S177" s="120"/>
      <c r="X177" s="124"/>
    </row>
    <row r="178" spans="1:24" ht="12.75" customHeight="1" x14ac:dyDescent="0.25">
      <c r="A178" s="119"/>
      <c r="B178" s="119"/>
      <c r="C178" s="123"/>
      <c r="D178" s="122"/>
      <c r="E178" s="119"/>
      <c r="F178" s="122"/>
      <c r="G178" s="122"/>
      <c r="H178" s="122"/>
      <c r="I178" s="122"/>
      <c r="J178" s="122"/>
      <c r="S178" s="120"/>
      <c r="X178" s="124"/>
    </row>
    <row r="179" spans="1:24" ht="12.75" customHeight="1" x14ac:dyDescent="0.25">
      <c r="A179" s="119"/>
      <c r="B179" s="119"/>
      <c r="C179" s="123"/>
      <c r="D179" s="122"/>
      <c r="E179" s="119"/>
      <c r="F179" s="122"/>
      <c r="G179" s="122"/>
      <c r="H179" s="122"/>
      <c r="I179" s="122"/>
      <c r="J179" s="122"/>
      <c r="S179" s="120"/>
      <c r="X179" s="124"/>
    </row>
    <row r="180" spans="1:24" ht="12.75" customHeight="1" x14ac:dyDescent="0.25">
      <c r="A180" s="119"/>
      <c r="B180" s="119"/>
      <c r="C180" s="123"/>
      <c r="D180" s="122"/>
      <c r="E180" s="119"/>
      <c r="F180" s="122"/>
      <c r="G180" s="122"/>
      <c r="H180" s="122"/>
      <c r="I180" s="122"/>
      <c r="J180" s="122"/>
      <c r="S180" s="120"/>
      <c r="X180" s="124"/>
    </row>
    <row r="181" spans="1:24" ht="12.75" customHeight="1" x14ac:dyDescent="0.25">
      <c r="A181" s="119"/>
      <c r="B181" s="119"/>
      <c r="C181" s="123"/>
      <c r="D181" s="122"/>
      <c r="E181" s="119"/>
      <c r="F181" s="122"/>
      <c r="G181" s="122"/>
      <c r="H181" s="122"/>
      <c r="I181" s="122"/>
      <c r="J181" s="122"/>
      <c r="S181" s="120"/>
      <c r="X181" s="124"/>
    </row>
    <row r="182" spans="1:24" ht="12.75" customHeight="1" x14ac:dyDescent="0.25">
      <c r="A182" s="119"/>
      <c r="B182" s="119"/>
      <c r="C182" s="123"/>
      <c r="D182" s="122"/>
      <c r="E182" s="119"/>
      <c r="F182" s="122"/>
      <c r="G182" s="122"/>
      <c r="H182" s="122"/>
      <c r="I182" s="122"/>
      <c r="J182" s="122"/>
      <c r="S182" s="120"/>
      <c r="X182" s="124"/>
    </row>
    <row r="183" spans="1:24" ht="12.75" customHeight="1" x14ac:dyDescent="0.25">
      <c r="A183" s="119"/>
      <c r="B183" s="119"/>
      <c r="C183" s="123"/>
      <c r="D183" s="122"/>
      <c r="E183" s="119"/>
      <c r="F183" s="122"/>
      <c r="G183" s="122"/>
      <c r="H183" s="122"/>
      <c r="I183" s="122"/>
      <c r="J183" s="122"/>
      <c r="S183" s="120"/>
      <c r="X183" s="124"/>
    </row>
    <row r="184" spans="1:24" ht="12.75" customHeight="1" x14ac:dyDescent="0.25">
      <c r="A184" s="119"/>
      <c r="B184" s="119"/>
      <c r="C184" s="123"/>
      <c r="D184" s="122"/>
      <c r="E184" s="119"/>
      <c r="F184" s="122"/>
      <c r="G184" s="122"/>
      <c r="H184" s="122"/>
      <c r="I184" s="122"/>
      <c r="J184" s="122"/>
      <c r="S184" s="120"/>
      <c r="X184" s="124"/>
    </row>
    <row r="185" spans="1:24" ht="12.75" customHeight="1" x14ac:dyDescent="0.25">
      <c r="A185" s="119"/>
      <c r="B185" s="119"/>
      <c r="C185" s="123"/>
      <c r="D185" s="122"/>
      <c r="E185" s="119"/>
      <c r="F185" s="122"/>
      <c r="G185" s="122"/>
      <c r="H185" s="122"/>
      <c r="I185" s="122"/>
      <c r="J185" s="122"/>
      <c r="S185" s="120"/>
      <c r="X185" s="124"/>
    </row>
    <row r="186" spans="1:24" ht="12.75" customHeight="1" x14ac:dyDescent="0.25">
      <c r="A186" s="119"/>
      <c r="B186" s="119"/>
      <c r="C186" s="123"/>
      <c r="D186" s="122"/>
      <c r="E186" s="119"/>
      <c r="F186" s="122"/>
      <c r="G186" s="122"/>
      <c r="H186" s="122"/>
      <c r="I186" s="122"/>
      <c r="J186" s="122"/>
      <c r="S186" s="120"/>
      <c r="X186" s="124"/>
    </row>
    <row r="187" spans="1:24" ht="12.75" customHeight="1" x14ac:dyDescent="0.25">
      <c r="A187" s="119"/>
      <c r="B187" s="119"/>
      <c r="C187" s="123"/>
      <c r="D187" s="122"/>
      <c r="E187" s="119"/>
      <c r="F187" s="122"/>
      <c r="G187" s="122"/>
      <c r="H187" s="122"/>
      <c r="I187" s="122"/>
      <c r="J187" s="122"/>
      <c r="S187" s="120"/>
      <c r="X187" s="124"/>
    </row>
    <row r="188" spans="1:24" ht="12.75" customHeight="1" x14ac:dyDescent="0.25">
      <c r="A188" s="119"/>
      <c r="B188" s="119"/>
      <c r="C188" s="123"/>
      <c r="D188" s="122"/>
      <c r="E188" s="119"/>
      <c r="F188" s="122"/>
      <c r="G188" s="122"/>
      <c r="H188" s="122"/>
      <c r="I188" s="122"/>
      <c r="J188" s="122"/>
      <c r="S188" s="120"/>
      <c r="X188" s="124"/>
    </row>
    <row r="189" spans="1:24" ht="12.75" customHeight="1" x14ac:dyDescent="0.25">
      <c r="A189" s="119"/>
      <c r="B189" s="119"/>
      <c r="C189" s="123"/>
      <c r="D189" s="122"/>
      <c r="E189" s="119"/>
      <c r="F189" s="122"/>
      <c r="G189" s="122"/>
      <c r="H189" s="122"/>
      <c r="I189" s="122"/>
      <c r="J189" s="122"/>
      <c r="S189" s="120"/>
      <c r="X189" s="124"/>
    </row>
    <row r="190" spans="1:24" ht="12.75" customHeight="1" x14ac:dyDescent="0.25">
      <c r="A190" s="119"/>
      <c r="B190" s="119"/>
      <c r="C190" s="123"/>
      <c r="D190" s="122"/>
      <c r="E190" s="119"/>
      <c r="F190" s="122"/>
      <c r="G190" s="122"/>
      <c r="H190" s="122"/>
      <c r="I190" s="122"/>
      <c r="J190" s="122"/>
      <c r="S190" s="120"/>
      <c r="X190" s="124"/>
    </row>
    <row r="191" spans="1:24" ht="12.75" customHeight="1" x14ac:dyDescent="0.25">
      <c r="A191" s="119"/>
      <c r="B191" s="119"/>
      <c r="C191" s="123"/>
      <c r="D191" s="122"/>
      <c r="E191" s="119"/>
      <c r="F191" s="122"/>
      <c r="G191" s="122"/>
      <c r="H191" s="122"/>
      <c r="I191" s="122"/>
      <c r="J191" s="122"/>
      <c r="S191" s="120"/>
      <c r="X191" s="124"/>
    </row>
    <row r="192" spans="1:24" ht="12.75" customHeight="1" x14ac:dyDescent="0.25">
      <c r="A192" s="119"/>
      <c r="B192" s="119"/>
      <c r="C192" s="123"/>
      <c r="D192" s="122"/>
      <c r="E192" s="119"/>
      <c r="F192" s="122"/>
      <c r="G192" s="122"/>
      <c r="H192" s="122"/>
      <c r="I192" s="122"/>
      <c r="J192" s="122"/>
      <c r="S192" s="120"/>
      <c r="X192" s="124"/>
    </row>
    <row r="193" spans="1:24" ht="12.75" customHeight="1" x14ac:dyDescent="0.25">
      <c r="A193" s="119"/>
      <c r="B193" s="119"/>
      <c r="C193" s="123"/>
      <c r="D193" s="122"/>
      <c r="E193" s="119"/>
      <c r="F193" s="122"/>
      <c r="G193" s="122"/>
      <c r="H193" s="122"/>
      <c r="I193" s="122"/>
      <c r="J193" s="122"/>
      <c r="S193" s="120"/>
      <c r="X193" s="124"/>
    </row>
    <row r="194" spans="1:24" ht="12.75" customHeight="1" x14ac:dyDescent="0.25">
      <c r="A194" s="119"/>
      <c r="B194" s="119"/>
      <c r="C194" s="123"/>
      <c r="D194" s="122"/>
      <c r="E194" s="119"/>
      <c r="F194" s="122"/>
      <c r="G194" s="122"/>
      <c r="H194" s="122"/>
      <c r="I194" s="122"/>
      <c r="J194" s="122"/>
      <c r="S194" s="120"/>
      <c r="X194" s="124"/>
    </row>
    <row r="195" spans="1:24" ht="12.75" customHeight="1" x14ac:dyDescent="0.25">
      <c r="A195" s="119"/>
      <c r="B195" s="119"/>
      <c r="C195" s="123"/>
      <c r="D195" s="122"/>
      <c r="E195" s="119"/>
      <c r="F195" s="122"/>
      <c r="G195" s="122"/>
      <c r="H195" s="122"/>
      <c r="I195" s="122"/>
      <c r="J195" s="122"/>
      <c r="S195" s="120"/>
      <c r="X195" s="124"/>
    </row>
    <row r="196" spans="1:24" ht="12.75" customHeight="1" x14ac:dyDescent="0.25">
      <c r="A196" s="119"/>
      <c r="B196" s="119"/>
      <c r="C196" s="123"/>
      <c r="D196" s="122"/>
      <c r="E196" s="119"/>
      <c r="F196" s="122"/>
      <c r="G196" s="122"/>
      <c r="H196" s="122"/>
      <c r="I196" s="122"/>
      <c r="J196" s="122"/>
      <c r="S196" s="120"/>
      <c r="X196" s="124"/>
    </row>
    <row r="197" spans="1:24" ht="12.75" customHeight="1" x14ac:dyDescent="0.25">
      <c r="A197" s="119"/>
      <c r="B197" s="119"/>
      <c r="C197" s="123"/>
      <c r="D197" s="122"/>
      <c r="E197" s="119"/>
      <c r="F197" s="122"/>
      <c r="G197" s="122"/>
      <c r="H197" s="122"/>
      <c r="I197" s="122"/>
      <c r="J197" s="122"/>
      <c r="S197" s="120"/>
      <c r="X197" s="124"/>
    </row>
    <row r="198" spans="1:24" ht="12.75" customHeight="1" x14ac:dyDescent="0.25">
      <c r="A198" s="119"/>
      <c r="B198" s="119"/>
      <c r="C198" s="123"/>
      <c r="D198" s="122"/>
      <c r="E198" s="119"/>
      <c r="F198" s="122"/>
      <c r="G198" s="122"/>
      <c r="H198" s="122"/>
      <c r="I198" s="122"/>
      <c r="J198" s="122"/>
      <c r="S198" s="120"/>
      <c r="X198" s="124"/>
    </row>
    <row r="199" spans="1:24" ht="12.75" customHeight="1" x14ac:dyDescent="0.25">
      <c r="A199" s="119"/>
      <c r="B199" s="119"/>
      <c r="C199" s="123"/>
      <c r="D199" s="122"/>
      <c r="E199" s="119"/>
      <c r="F199" s="122"/>
      <c r="G199" s="122"/>
      <c r="H199" s="122"/>
      <c r="I199" s="122"/>
      <c r="J199" s="122"/>
      <c r="S199" s="120"/>
      <c r="X199" s="124"/>
    </row>
    <row r="200" spans="1:24" ht="12.75" customHeight="1" x14ac:dyDescent="0.25">
      <c r="A200" s="119"/>
      <c r="B200" s="119"/>
      <c r="C200" s="123"/>
      <c r="D200" s="122"/>
      <c r="E200" s="119"/>
      <c r="F200" s="122"/>
      <c r="G200" s="122"/>
      <c r="H200" s="122"/>
      <c r="I200" s="122"/>
      <c r="J200" s="122"/>
      <c r="S200" s="120"/>
      <c r="X200" s="124"/>
    </row>
    <row r="201" spans="1:24" ht="12.75" customHeight="1" x14ac:dyDescent="0.25">
      <c r="A201" s="119"/>
      <c r="B201" s="119"/>
      <c r="C201" s="123"/>
      <c r="D201" s="122"/>
      <c r="E201" s="119"/>
      <c r="F201" s="122"/>
      <c r="G201" s="122"/>
      <c r="H201" s="122"/>
      <c r="I201" s="122"/>
      <c r="J201" s="122"/>
      <c r="S201" s="120"/>
      <c r="X201" s="124"/>
    </row>
    <row r="202" spans="1:24" ht="12.75" customHeight="1" x14ac:dyDescent="0.25">
      <c r="A202" s="119"/>
      <c r="B202" s="119"/>
      <c r="C202" s="123"/>
      <c r="D202" s="122"/>
      <c r="E202" s="119"/>
      <c r="F202" s="122"/>
      <c r="G202" s="122"/>
      <c r="H202" s="122"/>
      <c r="I202" s="122"/>
      <c r="J202" s="122"/>
      <c r="S202" s="120"/>
      <c r="X202" s="124"/>
    </row>
    <row r="203" spans="1:24" ht="12.75" customHeight="1" x14ac:dyDescent="0.25">
      <c r="A203" s="119"/>
      <c r="B203" s="119"/>
      <c r="C203" s="123"/>
      <c r="D203" s="122"/>
      <c r="E203" s="119"/>
      <c r="F203" s="122"/>
      <c r="G203" s="122"/>
      <c r="H203" s="122"/>
      <c r="I203" s="122"/>
      <c r="J203" s="122"/>
      <c r="S203" s="120"/>
      <c r="X203" s="124"/>
    </row>
    <row r="204" spans="1:24" ht="12.75" customHeight="1" x14ac:dyDescent="0.25">
      <c r="A204" s="119"/>
      <c r="B204" s="119"/>
      <c r="C204" s="123"/>
      <c r="D204" s="122"/>
      <c r="E204" s="119"/>
      <c r="F204" s="122"/>
      <c r="G204" s="122"/>
      <c r="H204" s="122"/>
      <c r="I204" s="122"/>
      <c r="J204" s="122"/>
      <c r="S204" s="120"/>
      <c r="X204" s="124"/>
    </row>
    <row r="205" spans="1:24" ht="12.75" customHeight="1" x14ac:dyDescent="0.25">
      <c r="A205" s="119"/>
      <c r="B205" s="119"/>
      <c r="C205" s="123"/>
      <c r="D205" s="122"/>
      <c r="E205" s="119"/>
      <c r="F205" s="122"/>
      <c r="G205" s="122"/>
      <c r="H205" s="122"/>
      <c r="I205" s="122"/>
      <c r="J205" s="122"/>
      <c r="S205" s="120"/>
      <c r="X205" s="124"/>
    </row>
    <row r="206" spans="1:24" ht="12.75" customHeight="1" x14ac:dyDescent="0.25">
      <c r="A206" s="119"/>
      <c r="B206" s="119"/>
      <c r="C206" s="123"/>
      <c r="D206" s="122"/>
      <c r="E206" s="119"/>
      <c r="F206" s="122"/>
      <c r="G206" s="122"/>
      <c r="H206" s="122"/>
      <c r="I206" s="122"/>
      <c r="J206" s="122"/>
      <c r="S206" s="120"/>
      <c r="X206" s="124"/>
    </row>
    <row r="207" spans="1:24" ht="12.75" customHeight="1" x14ac:dyDescent="0.25">
      <c r="A207" s="119"/>
      <c r="B207" s="119"/>
      <c r="C207" s="123"/>
      <c r="D207" s="122"/>
      <c r="E207" s="119"/>
      <c r="F207" s="122"/>
      <c r="G207" s="122"/>
      <c r="H207" s="122"/>
      <c r="I207" s="122"/>
      <c r="J207" s="122"/>
      <c r="S207" s="120"/>
      <c r="X207" s="124"/>
    </row>
    <row r="208" spans="1:24" ht="12.75" customHeight="1" x14ac:dyDescent="0.25">
      <c r="A208" s="119"/>
      <c r="B208" s="119"/>
      <c r="C208" s="123"/>
      <c r="D208" s="122"/>
      <c r="E208" s="119"/>
      <c r="F208" s="122"/>
      <c r="G208" s="122"/>
      <c r="H208" s="122"/>
      <c r="I208" s="122"/>
      <c r="J208" s="122"/>
      <c r="S208" s="120"/>
      <c r="X208" s="124"/>
    </row>
    <row r="209" spans="1:24" ht="12.75" customHeight="1" x14ac:dyDescent="0.25">
      <c r="A209" s="119"/>
      <c r="B209" s="119"/>
      <c r="C209" s="123"/>
      <c r="D209" s="122"/>
      <c r="E209" s="119"/>
      <c r="F209" s="122"/>
      <c r="G209" s="122"/>
      <c r="H209" s="122"/>
      <c r="I209" s="122"/>
      <c r="J209" s="122"/>
      <c r="S209" s="120"/>
      <c r="X209" s="124"/>
    </row>
    <row r="210" spans="1:24" ht="12.75" customHeight="1" x14ac:dyDescent="0.25">
      <c r="A210" s="119"/>
      <c r="B210" s="119"/>
      <c r="C210" s="123"/>
      <c r="D210" s="122"/>
      <c r="E210" s="119"/>
      <c r="F210" s="122"/>
      <c r="G210" s="122"/>
      <c r="H210" s="122"/>
      <c r="I210" s="122"/>
      <c r="J210" s="122"/>
      <c r="S210" s="120"/>
      <c r="X210" s="124"/>
    </row>
    <row r="211" spans="1:24" ht="12.75" customHeight="1" x14ac:dyDescent="0.25">
      <c r="A211" s="119"/>
      <c r="B211" s="119"/>
      <c r="C211" s="123"/>
      <c r="D211" s="122"/>
      <c r="E211" s="119"/>
      <c r="F211" s="122"/>
      <c r="G211" s="122"/>
      <c r="H211" s="122"/>
      <c r="I211" s="122"/>
      <c r="J211" s="122"/>
      <c r="S211" s="120"/>
      <c r="X211" s="124"/>
    </row>
    <row r="212" spans="1:24" ht="12.75" customHeight="1" x14ac:dyDescent="0.25">
      <c r="A212" s="119"/>
      <c r="B212" s="119"/>
      <c r="C212" s="123"/>
      <c r="D212" s="122"/>
      <c r="E212" s="119"/>
      <c r="F212" s="122"/>
      <c r="G212" s="122"/>
      <c r="H212" s="122"/>
      <c r="I212" s="122"/>
      <c r="J212" s="122"/>
      <c r="S212" s="120"/>
      <c r="X212" s="124"/>
    </row>
    <row r="213" spans="1:24" ht="12.75" customHeight="1" x14ac:dyDescent="0.25">
      <c r="A213" s="119"/>
      <c r="B213" s="119"/>
      <c r="C213" s="123"/>
      <c r="D213" s="122"/>
      <c r="E213" s="119"/>
      <c r="F213" s="122"/>
      <c r="G213" s="122"/>
      <c r="H213" s="122"/>
      <c r="I213" s="122"/>
      <c r="J213" s="122"/>
      <c r="S213" s="120"/>
      <c r="X213" s="124"/>
    </row>
    <row r="214" spans="1:24" ht="12.75" customHeight="1" x14ac:dyDescent="0.25">
      <c r="A214" s="119"/>
      <c r="B214" s="119"/>
      <c r="C214" s="123"/>
      <c r="D214" s="122"/>
      <c r="E214" s="119"/>
      <c r="F214" s="122"/>
      <c r="G214" s="122"/>
      <c r="H214" s="122"/>
      <c r="I214" s="122"/>
      <c r="J214" s="122"/>
      <c r="S214" s="120"/>
      <c r="X214" s="124"/>
    </row>
    <row r="215" spans="1:24" ht="12.75" customHeight="1" x14ac:dyDescent="0.25">
      <c r="A215" s="119"/>
      <c r="B215" s="119"/>
      <c r="C215" s="123"/>
      <c r="D215" s="122"/>
      <c r="E215" s="119"/>
      <c r="F215" s="122"/>
      <c r="G215" s="122"/>
      <c r="H215" s="122"/>
      <c r="I215" s="122"/>
      <c r="J215" s="122"/>
      <c r="S215" s="120"/>
      <c r="X215" s="124"/>
    </row>
    <row r="216" spans="1:24" ht="12.75" customHeight="1" x14ac:dyDescent="0.25">
      <c r="A216" s="119"/>
      <c r="B216" s="119"/>
      <c r="C216" s="123"/>
      <c r="D216" s="122"/>
      <c r="E216" s="119"/>
      <c r="F216" s="122"/>
      <c r="G216" s="122"/>
      <c r="H216" s="122"/>
      <c r="I216" s="122"/>
      <c r="J216" s="122"/>
      <c r="S216" s="120"/>
      <c r="X216" s="124"/>
    </row>
    <row r="217" spans="1:24" ht="12.75" customHeight="1" x14ac:dyDescent="0.25">
      <c r="A217" s="119"/>
      <c r="B217" s="119"/>
      <c r="C217" s="123"/>
      <c r="D217" s="122"/>
      <c r="E217" s="119"/>
      <c r="F217" s="122"/>
      <c r="G217" s="122"/>
      <c r="H217" s="122"/>
      <c r="I217" s="122"/>
      <c r="J217" s="122"/>
      <c r="S217" s="120"/>
      <c r="X217" s="124"/>
    </row>
    <row r="218" spans="1:24" ht="12.75" customHeight="1" x14ac:dyDescent="0.25">
      <c r="A218" s="119"/>
      <c r="B218" s="119"/>
      <c r="C218" s="123"/>
      <c r="D218" s="122"/>
      <c r="E218" s="119"/>
      <c r="F218" s="122"/>
      <c r="G218" s="122"/>
      <c r="H218" s="122"/>
      <c r="I218" s="122"/>
      <c r="J218" s="122"/>
      <c r="S218" s="120"/>
      <c r="X218" s="124"/>
    </row>
    <row r="219" spans="1:24" ht="12.75" customHeight="1" x14ac:dyDescent="0.25">
      <c r="A219" s="119"/>
      <c r="B219" s="119"/>
      <c r="C219" s="123"/>
      <c r="D219" s="122"/>
      <c r="E219" s="119"/>
      <c r="F219" s="122"/>
      <c r="G219" s="122"/>
      <c r="H219" s="122"/>
      <c r="I219" s="122"/>
      <c r="J219" s="122"/>
      <c r="S219" s="120"/>
      <c r="X219" s="124"/>
    </row>
    <row r="220" spans="1:24" ht="12.75" customHeight="1" x14ac:dyDescent="0.25">
      <c r="A220" s="119"/>
      <c r="B220" s="119"/>
      <c r="C220" s="123"/>
      <c r="D220" s="122"/>
      <c r="E220" s="119"/>
      <c r="F220" s="122"/>
      <c r="G220" s="122"/>
      <c r="H220" s="122"/>
      <c r="I220" s="122"/>
      <c r="J220" s="122"/>
      <c r="S220" s="120"/>
      <c r="X220" s="124"/>
    </row>
    <row r="221" spans="1:24" ht="12.75" customHeight="1" x14ac:dyDescent="0.25">
      <c r="A221" s="119"/>
      <c r="B221" s="119"/>
      <c r="C221" s="123"/>
      <c r="D221" s="122"/>
      <c r="E221" s="119"/>
      <c r="F221" s="122"/>
      <c r="G221" s="122"/>
      <c r="H221" s="122"/>
      <c r="I221" s="122"/>
      <c r="J221" s="122"/>
      <c r="S221" s="120"/>
      <c r="X221" s="124"/>
    </row>
    <row r="222" spans="1:24" ht="12.75" customHeight="1" x14ac:dyDescent="0.25">
      <c r="A222" s="119"/>
      <c r="B222" s="119"/>
      <c r="C222" s="123"/>
      <c r="D222" s="122"/>
      <c r="E222" s="119"/>
      <c r="F222" s="122"/>
      <c r="G222" s="122"/>
      <c r="H222" s="122"/>
      <c r="I222" s="122"/>
      <c r="J222" s="122"/>
      <c r="S222" s="120"/>
      <c r="X222" s="124"/>
    </row>
    <row r="223" spans="1:24" ht="12.75" customHeight="1" x14ac:dyDescent="0.25">
      <c r="A223" s="119"/>
      <c r="B223" s="119"/>
      <c r="C223" s="123"/>
      <c r="D223" s="122"/>
      <c r="E223" s="119"/>
      <c r="F223" s="122"/>
      <c r="G223" s="122"/>
      <c r="H223" s="122"/>
      <c r="I223" s="122"/>
      <c r="J223" s="122"/>
      <c r="S223" s="120"/>
      <c r="X223" s="124"/>
    </row>
    <row r="224" spans="1:24" ht="12.75" customHeight="1" x14ac:dyDescent="0.25">
      <c r="A224" s="119"/>
      <c r="B224" s="119"/>
      <c r="C224" s="123"/>
      <c r="D224" s="122"/>
      <c r="E224" s="119"/>
      <c r="F224" s="122"/>
      <c r="G224" s="122"/>
      <c r="H224" s="122"/>
      <c r="I224" s="122"/>
      <c r="J224" s="122"/>
      <c r="S224" s="120"/>
      <c r="X224" s="124"/>
    </row>
    <row r="225" spans="1:24" ht="12.75" customHeight="1" x14ac:dyDescent="0.25">
      <c r="A225" s="119"/>
      <c r="B225" s="119"/>
      <c r="C225" s="123"/>
      <c r="D225" s="122"/>
      <c r="E225" s="119"/>
      <c r="F225" s="122"/>
      <c r="G225" s="122"/>
      <c r="H225" s="122"/>
      <c r="I225" s="122"/>
      <c r="J225" s="122"/>
      <c r="S225" s="120"/>
      <c r="X225" s="124"/>
    </row>
    <row r="226" spans="1:24" ht="12.75" customHeight="1" x14ac:dyDescent="0.25">
      <c r="A226" s="119"/>
      <c r="B226" s="119"/>
      <c r="C226" s="123"/>
      <c r="D226" s="122"/>
      <c r="E226" s="119"/>
      <c r="F226" s="122"/>
      <c r="G226" s="122"/>
      <c r="H226" s="122"/>
      <c r="I226" s="122"/>
      <c r="J226" s="122"/>
      <c r="S226" s="120"/>
      <c r="X226" s="124"/>
    </row>
    <row r="227" spans="1:24" ht="12.75" customHeight="1" x14ac:dyDescent="0.25">
      <c r="A227" s="119"/>
      <c r="B227" s="119"/>
      <c r="C227" s="123"/>
      <c r="D227" s="122"/>
      <c r="E227" s="119"/>
      <c r="F227" s="122"/>
      <c r="G227" s="122"/>
      <c r="H227" s="122"/>
      <c r="I227" s="122"/>
      <c r="J227" s="122"/>
      <c r="S227" s="120"/>
      <c r="X227" s="124"/>
    </row>
    <row r="228" spans="1:24" ht="12.75" customHeight="1" x14ac:dyDescent="0.25">
      <c r="A228" s="119"/>
      <c r="B228" s="119"/>
      <c r="C228" s="123"/>
      <c r="D228" s="122"/>
      <c r="E228" s="119"/>
      <c r="F228" s="122"/>
      <c r="G228" s="122"/>
      <c r="H228" s="122"/>
      <c r="I228" s="122"/>
      <c r="J228" s="122"/>
      <c r="S228" s="120"/>
      <c r="X228" s="124"/>
    </row>
    <row r="229" spans="1:24" ht="12.75" customHeight="1" x14ac:dyDescent="0.25">
      <c r="A229" s="119"/>
      <c r="B229" s="119"/>
      <c r="C229" s="123"/>
      <c r="D229" s="122"/>
      <c r="E229" s="119"/>
      <c r="F229" s="122"/>
      <c r="G229" s="122"/>
      <c r="H229" s="122"/>
      <c r="I229" s="122"/>
      <c r="J229" s="122"/>
      <c r="S229" s="120"/>
      <c r="X229" s="124"/>
    </row>
    <row r="230" spans="1:24" ht="12.75" customHeight="1" x14ac:dyDescent="0.25">
      <c r="A230" s="119"/>
      <c r="B230" s="119"/>
      <c r="C230" s="123"/>
      <c r="D230" s="122"/>
      <c r="E230" s="119"/>
      <c r="F230" s="122"/>
      <c r="G230" s="122"/>
      <c r="H230" s="122"/>
      <c r="I230" s="122"/>
      <c r="J230" s="122"/>
      <c r="S230" s="120"/>
      <c r="X230" s="124"/>
    </row>
    <row r="231" spans="1:24" ht="12.75" customHeight="1" x14ac:dyDescent="0.25">
      <c r="A231" s="119"/>
      <c r="B231" s="119"/>
      <c r="C231" s="123"/>
      <c r="D231" s="122"/>
      <c r="E231" s="119"/>
      <c r="F231" s="122"/>
      <c r="G231" s="122"/>
      <c r="H231" s="122"/>
      <c r="I231" s="122"/>
      <c r="J231" s="122"/>
      <c r="S231" s="120"/>
      <c r="X231" s="124"/>
    </row>
    <row r="232" spans="1:24" ht="12.75" customHeight="1" x14ac:dyDescent="0.25">
      <c r="A232" s="119"/>
      <c r="B232" s="119"/>
      <c r="C232" s="123"/>
      <c r="D232" s="122"/>
      <c r="E232" s="119"/>
      <c r="F232" s="122"/>
      <c r="G232" s="122"/>
      <c r="H232" s="122"/>
      <c r="I232" s="122"/>
      <c r="J232" s="122"/>
      <c r="S232" s="120"/>
      <c r="X232" s="124"/>
    </row>
    <row r="233" spans="1:24" ht="12.75" customHeight="1" x14ac:dyDescent="0.25">
      <c r="A233" s="119"/>
      <c r="B233" s="119"/>
      <c r="C233" s="123"/>
      <c r="D233" s="122"/>
      <c r="E233" s="119"/>
      <c r="F233" s="122"/>
      <c r="G233" s="122"/>
      <c r="H233" s="122"/>
      <c r="I233" s="122"/>
      <c r="J233" s="122"/>
      <c r="S233" s="120"/>
      <c r="X233" s="124"/>
    </row>
    <row r="234" spans="1:24" ht="12.75" customHeight="1" x14ac:dyDescent="0.25">
      <c r="A234" s="119"/>
      <c r="B234" s="119"/>
      <c r="C234" s="123"/>
      <c r="D234" s="122"/>
      <c r="E234" s="119"/>
      <c r="F234" s="122"/>
      <c r="G234" s="122"/>
      <c r="H234" s="122"/>
      <c r="I234" s="122"/>
      <c r="J234" s="122"/>
      <c r="S234" s="120"/>
      <c r="X234" s="124"/>
    </row>
    <row r="235" spans="1:24" ht="12.75" customHeight="1" x14ac:dyDescent="0.25">
      <c r="A235" s="119"/>
      <c r="B235" s="119"/>
      <c r="C235" s="123"/>
      <c r="D235" s="122"/>
      <c r="E235" s="119"/>
      <c r="F235" s="122"/>
      <c r="G235" s="122"/>
      <c r="H235" s="122"/>
      <c r="I235" s="122"/>
      <c r="J235" s="122"/>
      <c r="S235" s="120"/>
      <c r="X235" s="124"/>
    </row>
    <row r="236" spans="1:24" ht="12.75" customHeight="1" x14ac:dyDescent="0.25">
      <c r="A236" s="119"/>
      <c r="B236" s="119"/>
      <c r="C236" s="123"/>
      <c r="D236" s="122"/>
      <c r="E236" s="119"/>
      <c r="F236" s="122"/>
      <c r="G236" s="122"/>
      <c r="H236" s="122"/>
      <c r="I236" s="122"/>
      <c r="J236" s="122"/>
      <c r="S236" s="120"/>
      <c r="X236" s="124"/>
    </row>
    <row r="237" spans="1:24" ht="12.75" customHeight="1" x14ac:dyDescent="0.25">
      <c r="A237" s="119"/>
      <c r="B237" s="119"/>
      <c r="C237" s="123"/>
      <c r="D237" s="122"/>
      <c r="E237" s="119"/>
      <c r="F237" s="122"/>
      <c r="G237" s="122"/>
      <c r="H237" s="122"/>
      <c r="I237" s="122"/>
      <c r="J237" s="122"/>
      <c r="S237" s="120"/>
      <c r="X237" s="124"/>
    </row>
    <row r="238" spans="1:24" ht="12.75" customHeight="1" x14ac:dyDescent="0.25">
      <c r="A238" s="119"/>
      <c r="B238" s="119"/>
      <c r="C238" s="123"/>
      <c r="D238" s="122"/>
      <c r="E238" s="119"/>
      <c r="F238" s="122"/>
      <c r="G238" s="122"/>
      <c r="H238" s="122"/>
      <c r="I238" s="122"/>
      <c r="J238" s="122"/>
      <c r="S238" s="120"/>
      <c r="X238" s="124"/>
    </row>
    <row r="239" spans="1:24" ht="12.75" customHeight="1" x14ac:dyDescent="0.25">
      <c r="A239" s="119"/>
      <c r="B239" s="119"/>
      <c r="C239" s="123"/>
      <c r="D239" s="122"/>
      <c r="E239" s="119"/>
      <c r="F239" s="122"/>
      <c r="G239" s="122"/>
      <c r="H239" s="122"/>
      <c r="I239" s="122"/>
      <c r="J239" s="122"/>
      <c r="S239" s="120"/>
      <c r="X239" s="124"/>
    </row>
    <row r="240" spans="1:24" ht="12.75" customHeight="1" x14ac:dyDescent="0.25">
      <c r="A240" s="119"/>
      <c r="B240" s="119"/>
      <c r="C240" s="123"/>
      <c r="D240" s="122"/>
      <c r="E240" s="119"/>
      <c r="F240" s="122"/>
      <c r="G240" s="122"/>
      <c r="H240" s="122"/>
      <c r="I240" s="122"/>
      <c r="J240" s="122"/>
      <c r="S240" s="120"/>
      <c r="X240" s="124"/>
    </row>
    <row r="241" spans="1:24" ht="12.75" customHeight="1" x14ac:dyDescent="0.25">
      <c r="A241" s="119"/>
      <c r="B241" s="119"/>
      <c r="C241" s="123"/>
      <c r="D241" s="122"/>
      <c r="E241" s="119"/>
      <c r="F241" s="122"/>
      <c r="G241" s="122"/>
      <c r="H241" s="122"/>
      <c r="I241" s="122"/>
      <c r="J241" s="122"/>
      <c r="S241" s="120"/>
      <c r="X241" s="124"/>
    </row>
    <row r="242" spans="1:24" ht="12.75" customHeight="1" x14ac:dyDescent="0.25">
      <c r="A242" s="119"/>
      <c r="B242" s="119"/>
      <c r="C242" s="123"/>
      <c r="D242" s="122"/>
      <c r="E242" s="119"/>
      <c r="F242" s="122"/>
      <c r="G242" s="122"/>
      <c r="H242" s="122"/>
      <c r="I242" s="122"/>
      <c r="J242" s="122"/>
      <c r="S242" s="120"/>
      <c r="X242" s="124"/>
    </row>
    <row r="243" spans="1:24" ht="12.75" customHeight="1" x14ac:dyDescent="0.25">
      <c r="A243" s="119"/>
      <c r="B243" s="119"/>
      <c r="C243" s="123"/>
      <c r="D243" s="122"/>
      <c r="E243" s="119"/>
      <c r="F243" s="122"/>
      <c r="G243" s="122"/>
      <c r="H243" s="122"/>
      <c r="I243" s="122"/>
      <c r="J243" s="122"/>
      <c r="S243" s="120"/>
      <c r="X243" s="124"/>
    </row>
    <row r="244" spans="1:24" ht="12.75" customHeight="1" x14ac:dyDescent="0.25">
      <c r="A244" s="119"/>
      <c r="B244" s="119"/>
      <c r="C244" s="123"/>
      <c r="D244" s="122"/>
      <c r="E244" s="119"/>
      <c r="F244" s="122"/>
      <c r="G244" s="122"/>
      <c r="H244" s="122"/>
      <c r="I244" s="122"/>
      <c r="J244" s="122"/>
      <c r="S244" s="120"/>
      <c r="X244" s="124"/>
    </row>
    <row r="245" spans="1:24" ht="12.75" customHeight="1" x14ac:dyDescent="0.25">
      <c r="A245" s="119"/>
      <c r="B245" s="119"/>
      <c r="C245" s="123"/>
      <c r="D245" s="122"/>
      <c r="E245" s="119"/>
      <c r="F245" s="122"/>
      <c r="G245" s="122"/>
      <c r="H245" s="122"/>
      <c r="I245" s="122"/>
      <c r="J245" s="122"/>
      <c r="S245" s="120"/>
      <c r="X245" s="124"/>
    </row>
    <row r="246" spans="1:24" ht="12.75" customHeight="1" x14ac:dyDescent="0.25">
      <c r="A246" s="119"/>
      <c r="B246" s="119"/>
      <c r="C246" s="123"/>
      <c r="D246" s="122"/>
      <c r="E246" s="119"/>
      <c r="F246" s="122"/>
      <c r="G246" s="122"/>
      <c r="H246" s="122"/>
      <c r="I246" s="122"/>
      <c r="J246" s="122"/>
      <c r="S246" s="120"/>
      <c r="X246" s="124"/>
    </row>
    <row r="247" spans="1:24" ht="12.75" customHeight="1" x14ac:dyDescent="0.25">
      <c r="A247" s="119"/>
      <c r="B247" s="119"/>
      <c r="C247" s="123"/>
      <c r="D247" s="122"/>
      <c r="E247" s="119"/>
      <c r="F247" s="122"/>
      <c r="G247" s="122"/>
      <c r="H247" s="122"/>
      <c r="I247" s="122"/>
      <c r="J247" s="122"/>
      <c r="S247" s="120"/>
      <c r="X247" s="124"/>
    </row>
    <row r="248" spans="1:24" ht="12.75" customHeight="1" x14ac:dyDescent="0.25">
      <c r="A248" s="119"/>
      <c r="B248" s="119"/>
      <c r="C248" s="123"/>
      <c r="D248" s="122"/>
      <c r="E248" s="119"/>
      <c r="F248" s="122"/>
      <c r="G248" s="122"/>
      <c r="H248" s="122"/>
      <c r="I248" s="122"/>
      <c r="J248" s="122"/>
      <c r="S248" s="120"/>
      <c r="X248" s="124"/>
    </row>
    <row r="249" spans="1:24" ht="12.75" customHeight="1" x14ac:dyDescent="0.25">
      <c r="A249" s="119"/>
      <c r="B249" s="119"/>
      <c r="C249" s="123"/>
      <c r="D249" s="122"/>
      <c r="E249" s="119"/>
      <c r="F249" s="122"/>
      <c r="G249" s="122"/>
      <c r="H249" s="122"/>
      <c r="I249" s="122"/>
      <c r="J249" s="122"/>
      <c r="S249" s="120"/>
      <c r="X249" s="124"/>
    </row>
    <row r="250" spans="1:24" ht="12.75" customHeight="1" x14ac:dyDescent="0.25">
      <c r="A250" s="119"/>
      <c r="B250" s="119"/>
      <c r="C250" s="123"/>
      <c r="D250" s="122"/>
      <c r="E250" s="119"/>
      <c r="F250" s="122"/>
      <c r="G250" s="122"/>
      <c r="H250" s="122"/>
      <c r="I250" s="122"/>
      <c r="J250" s="122"/>
      <c r="S250" s="120"/>
      <c r="X250" s="124"/>
    </row>
    <row r="251" spans="1:24" ht="12.75" customHeight="1" x14ac:dyDescent="0.25">
      <c r="A251" s="119"/>
      <c r="B251" s="119"/>
      <c r="C251" s="123"/>
      <c r="D251" s="122"/>
      <c r="E251" s="119"/>
      <c r="F251" s="122"/>
      <c r="G251" s="122"/>
      <c r="H251" s="122"/>
      <c r="I251" s="122"/>
      <c r="J251" s="122"/>
      <c r="S251" s="120"/>
      <c r="X251" s="124"/>
    </row>
    <row r="252" spans="1:24" ht="12.75" customHeight="1" x14ac:dyDescent="0.25">
      <c r="A252" s="119"/>
      <c r="B252" s="119"/>
      <c r="C252" s="123"/>
      <c r="D252" s="122"/>
      <c r="E252" s="119"/>
      <c r="F252" s="122"/>
      <c r="G252" s="122"/>
      <c r="H252" s="122"/>
      <c r="I252" s="122"/>
      <c r="J252" s="122"/>
      <c r="S252" s="120"/>
      <c r="X252" s="124"/>
    </row>
    <row r="253" spans="1:24" ht="12.75" customHeight="1" x14ac:dyDescent="0.25">
      <c r="A253" s="119"/>
      <c r="B253" s="119"/>
      <c r="C253" s="123"/>
      <c r="D253" s="122"/>
      <c r="E253" s="119"/>
      <c r="F253" s="122"/>
      <c r="G253" s="122"/>
      <c r="H253" s="122"/>
      <c r="I253" s="122"/>
      <c r="J253" s="122"/>
      <c r="S253" s="120"/>
      <c r="X253" s="124"/>
    </row>
    <row r="254" spans="1:24" ht="12.75" customHeight="1" x14ac:dyDescent="0.25">
      <c r="A254" s="119"/>
      <c r="B254" s="119"/>
      <c r="C254" s="123"/>
      <c r="D254" s="122"/>
      <c r="E254" s="119"/>
      <c r="F254" s="122"/>
      <c r="G254" s="122"/>
      <c r="H254" s="122"/>
      <c r="I254" s="122"/>
      <c r="J254" s="122"/>
      <c r="S254" s="120"/>
      <c r="X254" s="124"/>
    </row>
    <row r="255" spans="1:24" ht="12.75" customHeight="1" x14ac:dyDescent="0.25">
      <c r="A255" s="119"/>
      <c r="B255" s="119"/>
      <c r="C255" s="123"/>
      <c r="D255" s="122"/>
      <c r="E255" s="119"/>
      <c r="F255" s="122"/>
      <c r="G255" s="122"/>
      <c r="H255" s="122"/>
      <c r="I255" s="122"/>
      <c r="J255" s="122"/>
      <c r="S255" s="120"/>
      <c r="X255" s="124"/>
    </row>
    <row r="256" spans="1:24" ht="12.75" customHeight="1" x14ac:dyDescent="0.25">
      <c r="A256" s="119"/>
      <c r="B256" s="119"/>
      <c r="C256" s="123"/>
      <c r="D256" s="122"/>
      <c r="E256" s="119"/>
      <c r="F256" s="122"/>
      <c r="G256" s="122"/>
      <c r="H256" s="122"/>
      <c r="I256" s="122"/>
      <c r="J256" s="122"/>
      <c r="S256" s="120"/>
      <c r="X256" s="124"/>
    </row>
    <row r="257" spans="1:24" ht="12.75" customHeight="1" x14ac:dyDescent="0.25">
      <c r="A257" s="119"/>
      <c r="B257" s="119"/>
      <c r="C257" s="123"/>
      <c r="D257" s="122"/>
      <c r="E257" s="119"/>
      <c r="F257" s="122"/>
      <c r="G257" s="122"/>
      <c r="H257" s="122"/>
      <c r="I257" s="122"/>
      <c r="J257" s="122"/>
      <c r="S257" s="120"/>
      <c r="X257" s="124"/>
    </row>
    <row r="258" spans="1:24" ht="12.75" customHeight="1" x14ac:dyDescent="0.25">
      <c r="A258" s="119"/>
      <c r="B258" s="119"/>
      <c r="C258" s="123"/>
      <c r="D258" s="122"/>
      <c r="E258" s="119"/>
      <c r="F258" s="122"/>
      <c r="G258" s="122"/>
      <c r="H258" s="122"/>
      <c r="I258" s="122"/>
      <c r="J258" s="122"/>
      <c r="S258" s="120"/>
      <c r="X258" s="124"/>
    </row>
    <row r="259" spans="1:24" ht="12.75" customHeight="1" x14ac:dyDescent="0.25">
      <c r="A259" s="119"/>
      <c r="B259" s="119"/>
      <c r="C259" s="123"/>
      <c r="D259" s="122"/>
      <c r="E259" s="119"/>
      <c r="F259" s="122"/>
      <c r="G259" s="122"/>
      <c r="H259" s="122"/>
      <c r="I259" s="122"/>
      <c r="J259" s="122"/>
      <c r="S259" s="120"/>
      <c r="X259" s="124"/>
    </row>
    <row r="260" spans="1:24" ht="12.75" customHeight="1" x14ac:dyDescent="0.25">
      <c r="A260" s="119"/>
      <c r="B260" s="119"/>
      <c r="C260" s="123"/>
      <c r="D260" s="122"/>
      <c r="E260" s="119"/>
      <c r="F260" s="122"/>
      <c r="G260" s="122"/>
      <c r="H260" s="122"/>
      <c r="I260" s="122"/>
      <c r="J260" s="122"/>
      <c r="S260" s="120"/>
      <c r="X260" s="124"/>
    </row>
    <row r="261" spans="1:24" ht="12.75" customHeight="1" x14ac:dyDescent="0.25">
      <c r="A261" s="119"/>
      <c r="B261" s="119"/>
      <c r="C261" s="123"/>
      <c r="D261" s="122"/>
      <c r="E261" s="119"/>
      <c r="F261" s="122"/>
      <c r="G261" s="122"/>
      <c r="H261" s="122"/>
      <c r="I261" s="122"/>
      <c r="J261" s="122"/>
      <c r="S261" s="120"/>
      <c r="X261" s="124"/>
    </row>
    <row r="262" spans="1:24" ht="12.75" customHeight="1" x14ac:dyDescent="0.25">
      <c r="A262" s="119"/>
      <c r="B262" s="119"/>
      <c r="C262" s="123"/>
      <c r="D262" s="122"/>
      <c r="E262" s="119"/>
      <c r="F262" s="122"/>
      <c r="G262" s="122"/>
      <c r="H262" s="122"/>
      <c r="I262" s="122"/>
      <c r="J262" s="122"/>
      <c r="S262" s="120"/>
      <c r="X262" s="124"/>
    </row>
    <row r="263" spans="1:24" ht="12.75" customHeight="1" x14ac:dyDescent="0.25">
      <c r="A263" s="119"/>
      <c r="B263" s="119"/>
      <c r="C263" s="123"/>
      <c r="D263" s="122"/>
      <c r="E263" s="119"/>
      <c r="F263" s="122"/>
      <c r="G263" s="122"/>
      <c r="H263" s="122"/>
      <c r="I263" s="122"/>
      <c r="J263" s="122"/>
      <c r="S263" s="120"/>
      <c r="X263" s="124"/>
    </row>
    <row r="264" spans="1:24" ht="12.75" customHeight="1" x14ac:dyDescent="0.25">
      <c r="A264" s="119"/>
      <c r="B264" s="119"/>
      <c r="C264" s="123"/>
      <c r="D264" s="122"/>
      <c r="E264" s="119"/>
      <c r="F264" s="122"/>
      <c r="G264" s="122"/>
      <c r="H264" s="122"/>
      <c r="I264" s="122"/>
      <c r="J264" s="122"/>
      <c r="S264" s="120"/>
      <c r="X264" s="124"/>
    </row>
    <row r="265" spans="1:24" ht="12.75" customHeight="1" x14ac:dyDescent="0.25">
      <c r="A265" s="119"/>
      <c r="B265" s="119"/>
      <c r="C265" s="123"/>
      <c r="D265" s="122"/>
      <c r="E265" s="119"/>
      <c r="F265" s="122"/>
      <c r="G265" s="122"/>
      <c r="H265" s="122"/>
      <c r="I265" s="122"/>
      <c r="J265" s="122"/>
      <c r="S265" s="120"/>
      <c r="X265" s="124"/>
    </row>
    <row r="266" spans="1:24" ht="12.75" customHeight="1" x14ac:dyDescent="0.25">
      <c r="A266" s="119"/>
      <c r="B266" s="119"/>
      <c r="C266" s="123"/>
      <c r="D266" s="122"/>
      <c r="E266" s="119"/>
      <c r="F266" s="122"/>
      <c r="G266" s="122"/>
      <c r="H266" s="122"/>
      <c r="I266" s="122"/>
      <c r="J266" s="122"/>
      <c r="S266" s="120"/>
      <c r="X266" s="124"/>
    </row>
    <row r="267" spans="1:24" ht="12.75" customHeight="1" x14ac:dyDescent="0.25">
      <c r="A267" s="119"/>
      <c r="B267" s="119"/>
      <c r="C267" s="123"/>
      <c r="D267" s="122"/>
      <c r="E267" s="119"/>
      <c r="F267" s="122"/>
      <c r="G267" s="122"/>
      <c r="H267" s="122"/>
      <c r="I267" s="122"/>
      <c r="J267" s="122"/>
      <c r="S267" s="120"/>
      <c r="X267" s="124"/>
    </row>
    <row r="268" spans="1:24" ht="12.75" customHeight="1" x14ac:dyDescent="0.25">
      <c r="A268" s="119"/>
      <c r="B268" s="119"/>
      <c r="C268" s="123"/>
      <c r="D268" s="122"/>
      <c r="E268" s="119"/>
      <c r="F268" s="122"/>
      <c r="G268" s="122"/>
      <c r="H268" s="122"/>
      <c r="I268" s="122"/>
      <c r="J268" s="122"/>
      <c r="S268" s="120"/>
      <c r="X268" s="124"/>
    </row>
    <row r="269" spans="1:24" ht="12.75" customHeight="1" x14ac:dyDescent="0.25">
      <c r="A269" s="119"/>
      <c r="B269" s="119"/>
      <c r="C269" s="123"/>
      <c r="D269" s="122"/>
      <c r="E269" s="119"/>
      <c r="F269" s="122"/>
      <c r="G269" s="122"/>
      <c r="H269" s="122"/>
      <c r="I269" s="122"/>
      <c r="J269" s="122"/>
      <c r="S269" s="120"/>
      <c r="X269" s="124"/>
    </row>
    <row r="270" spans="1:24" ht="12.75" customHeight="1" x14ac:dyDescent="0.25">
      <c r="A270" s="119"/>
      <c r="B270" s="119"/>
      <c r="C270" s="123"/>
      <c r="D270" s="122"/>
      <c r="E270" s="119"/>
      <c r="F270" s="122"/>
      <c r="G270" s="122"/>
      <c r="H270" s="122"/>
      <c r="I270" s="122"/>
      <c r="J270" s="122"/>
      <c r="S270" s="120"/>
      <c r="X270" s="124"/>
    </row>
    <row r="271" spans="1:24" ht="12.75" customHeight="1" x14ac:dyDescent="0.25">
      <c r="A271" s="119"/>
      <c r="B271" s="119"/>
      <c r="C271" s="123"/>
      <c r="D271" s="122"/>
      <c r="E271" s="119"/>
      <c r="F271" s="122"/>
      <c r="G271" s="122"/>
      <c r="H271" s="122"/>
      <c r="I271" s="122"/>
      <c r="J271" s="122"/>
      <c r="S271" s="120"/>
      <c r="X271" s="124"/>
    </row>
    <row r="272" spans="1:24" ht="12.75" customHeight="1" x14ac:dyDescent="0.25">
      <c r="A272" s="119"/>
      <c r="B272" s="119"/>
      <c r="C272" s="123"/>
      <c r="D272" s="122"/>
      <c r="E272" s="119"/>
      <c r="F272" s="122"/>
      <c r="G272" s="122"/>
      <c r="H272" s="122"/>
      <c r="I272" s="122"/>
      <c r="J272" s="122"/>
      <c r="S272" s="120"/>
      <c r="X272" s="124"/>
    </row>
    <row r="273" spans="1:24" ht="12.75" customHeight="1" x14ac:dyDescent="0.25">
      <c r="A273" s="119"/>
      <c r="B273" s="119"/>
      <c r="C273" s="123"/>
      <c r="D273" s="122"/>
      <c r="E273" s="119"/>
      <c r="F273" s="122"/>
      <c r="G273" s="122"/>
      <c r="H273" s="122"/>
      <c r="I273" s="122"/>
      <c r="J273" s="122"/>
      <c r="S273" s="120"/>
      <c r="X273" s="124"/>
    </row>
    <row r="274" spans="1:24" ht="12.75" customHeight="1" x14ac:dyDescent="0.25">
      <c r="A274" s="119"/>
      <c r="B274" s="119"/>
      <c r="C274" s="123"/>
      <c r="D274" s="122"/>
      <c r="E274" s="119"/>
      <c r="F274" s="122"/>
      <c r="G274" s="122"/>
      <c r="H274" s="122"/>
      <c r="I274" s="122"/>
      <c r="J274" s="122"/>
      <c r="S274" s="120"/>
      <c r="X274" s="124"/>
    </row>
    <row r="275" spans="1:24" ht="12.75" customHeight="1" x14ac:dyDescent="0.25">
      <c r="A275" s="119"/>
      <c r="B275" s="119"/>
      <c r="C275" s="123"/>
      <c r="D275" s="122"/>
      <c r="E275" s="119"/>
      <c r="F275" s="122"/>
      <c r="G275" s="122"/>
      <c r="H275" s="122"/>
      <c r="I275" s="122"/>
      <c r="J275" s="122"/>
      <c r="S275" s="120"/>
      <c r="X275" s="124"/>
    </row>
    <row r="276" spans="1:24" ht="12.75" customHeight="1" x14ac:dyDescent="0.25">
      <c r="A276" s="119"/>
      <c r="B276" s="119"/>
      <c r="C276" s="123"/>
      <c r="D276" s="122"/>
      <c r="E276" s="119"/>
      <c r="F276" s="122"/>
      <c r="G276" s="122"/>
      <c r="H276" s="122"/>
      <c r="I276" s="122"/>
      <c r="J276" s="122"/>
      <c r="S276" s="120"/>
      <c r="X276" s="124"/>
    </row>
    <row r="277" spans="1:24" ht="12.75" customHeight="1" x14ac:dyDescent="0.25">
      <c r="A277" s="119"/>
      <c r="B277" s="119"/>
      <c r="C277" s="123"/>
      <c r="D277" s="122"/>
      <c r="E277" s="119"/>
      <c r="F277" s="122"/>
      <c r="G277" s="122"/>
      <c r="H277" s="122"/>
      <c r="I277" s="122"/>
      <c r="J277" s="122"/>
      <c r="S277" s="120"/>
      <c r="X277" s="124"/>
    </row>
    <row r="278" spans="1:24" ht="12.75" customHeight="1" x14ac:dyDescent="0.25">
      <c r="A278" s="119"/>
      <c r="B278" s="119"/>
      <c r="C278" s="123"/>
      <c r="D278" s="122"/>
      <c r="E278" s="119"/>
      <c r="F278" s="122"/>
      <c r="G278" s="122"/>
      <c r="H278" s="122"/>
      <c r="I278" s="122"/>
      <c r="J278" s="122"/>
      <c r="S278" s="120"/>
      <c r="X278" s="124"/>
    </row>
    <row r="279" spans="1:24" ht="12.75" customHeight="1" x14ac:dyDescent="0.25">
      <c r="A279" s="119"/>
      <c r="B279" s="119"/>
      <c r="C279" s="123"/>
      <c r="D279" s="122"/>
      <c r="E279" s="119"/>
      <c r="F279" s="122"/>
      <c r="G279" s="122"/>
      <c r="H279" s="122"/>
      <c r="I279" s="122"/>
      <c r="J279" s="122"/>
      <c r="S279" s="120"/>
      <c r="X279" s="124"/>
    </row>
    <row r="280" spans="1:24" ht="12.75" customHeight="1" x14ac:dyDescent="0.25">
      <c r="A280" s="119"/>
      <c r="B280" s="119"/>
      <c r="C280" s="123"/>
      <c r="D280" s="122"/>
      <c r="E280" s="119"/>
      <c r="F280" s="122"/>
      <c r="G280" s="122"/>
      <c r="H280" s="122"/>
      <c r="I280" s="122"/>
      <c r="J280" s="122"/>
      <c r="S280" s="120"/>
      <c r="X280" s="124"/>
    </row>
    <row r="281" spans="1:24" ht="12.75" customHeight="1" x14ac:dyDescent="0.25">
      <c r="A281" s="119"/>
      <c r="B281" s="119"/>
      <c r="C281" s="123"/>
      <c r="D281" s="122"/>
      <c r="E281" s="119"/>
      <c r="F281" s="122"/>
      <c r="G281" s="122"/>
      <c r="H281" s="122"/>
      <c r="I281" s="122"/>
      <c r="J281" s="122"/>
      <c r="S281" s="120"/>
      <c r="X281" s="124"/>
    </row>
    <row r="282" spans="1:24" ht="12.75" customHeight="1" x14ac:dyDescent="0.25">
      <c r="A282" s="119"/>
      <c r="B282" s="119"/>
      <c r="C282" s="123"/>
      <c r="D282" s="122"/>
      <c r="E282" s="119"/>
      <c r="F282" s="122"/>
      <c r="G282" s="122"/>
      <c r="H282" s="122"/>
      <c r="I282" s="122"/>
      <c r="J282" s="122"/>
      <c r="S282" s="120"/>
      <c r="X282" s="124"/>
    </row>
    <row r="283" spans="1:24" ht="12.75" customHeight="1" x14ac:dyDescent="0.25">
      <c r="A283" s="119"/>
      <c r="B283" s="119"/>
      <c r="C283" s="123"/>
      <c r="D283" s="122"/>
      <c r="E283" s="119"/>
      <c r="F283" s="122"/>
      <c r="G283" s="122"/>
      <c r="H283" s="122"/>
      <c r="I283" s="122"/>
      <c r="J283" s="122"/>
      <c r="S283" s="120"/>
      <c r="X283" s="124"/>
    </row>
    <row r="284" spans="1:24" ht="12.75" customHeight="1" x14ac:dyDescent="0.25">
      <c r="A284" s="119"/>
      <c r="B284" s="119"/>
      <c r="C284" s="123"/>
      <c r="D284" s="122"/>
      <c r="E284" s="119"/>
      <c r="F284" s="122"/>
      <c r="G284" s="122"/>
      <c r="H284" s="122"/>
      <c r="I284" s="122"/>
      <c r="J284" s="122"/>
      <c r="S284" s="120"/>
      <c r="X284" s="124"/>
    </row>
    <row r="285" spans="1:24" ht="12.75" customHeight="1" x14ac:dyDescent="0.25">
      <c r="A285" s="119"/>
      <c r="B285" s="119"/>
      <c r="C285" s="123"/>
      <c r="D285" s="122"/>
      <c r="E285" s="119"/>
      <c r="F285" s="122"/>
      <c r="G285" s="122"/>
      <c r="H285" s="122"/>
      <c r="I285" s="122"/>
      <c r="J285" s="122"/>
      <c r="S285" s="120"/>
      <c r="X285" s="124"/>
    </row>
    <row r="286" spans="1:24" ht="12.75" customHeight="1" x14ac:dyDescent="0.25">
      <c r="A286" s="119"/>
      <c r="B286" s="119"/>
      <c r="C286" s="123"/>
      <c r="D286" s="122"/>
      <c r="E286" s="119"/>
      <c r="F286" s="122"/>
      <c r="G286" s="122"/>
      <c r="H286" s="122"/>
      <c r="I286" s="122"/>
      <c r="J286" s="122"/>
      <c r="S286" s="120"/>
      <c r="X286" s="124"/>
    </row>
    <row r="287" spans="1:24" ht="12.75" customHeight="1" x14ac:dyDescent="0.25">
      <c r="A287" s="119"/>
      <c r="B287" s="119"/>
      <c r="C287" s="123"/>
      <c r="D287" s="122"/>
      <c r="E287" s="119"/>
      <c r="F287" s="122"/>
      <c r="G287" s="122"/>
      <c r="H287" s="122"/>
      <c r="I287" s="122"/>
      <c r="J287" s="122"/>
      <c r="S287" s="120"/>
      <c r="X287" s="124"/>
    </row>
    <row r="288" spans="1:24" ht="12.75" customHeight="1" x14ac:dyDescent="0.25">
      <c r="A288" s="119"/>
      <c r="B288" s="119"/>
      <c r="C288" s="123"/>
      <c r="D288" s="122"/>
      <c r="E288" s="119"/>
      <c r="F288" s="122"/>
      <c r="G288" s="122"/>
      <c r="H288" s="122"/>
      <c r="I288" s="122"/>
      <c r="J288" s="122"/>
      <c r="S288" s="120"/>
      <c r="X288" s="124"/>
    </row>
    <row r="289" spans="1:40" ht="12.75" customHeight="1" x14ac:dyDescent="0.25">
      <c r="A289" s="119"/>
      <c r="B289" s="119"/>
      <c r="C289" s="123"/>
      <c r="D289" s="122"/>
      <c r="E289" s="119"/>
      <c r="F289" s="122"/>
      <c r="G289" s="122"/>
      <c r="H289" s="122"/>
      <c r="I289" s="122"/>
      <c r="J289" s="122"/>
      <c r="S289" s="120"/>
      <c r="X289" s="124"/>
    </row>
    <row r="290" spans="1:40" ht="12.75" customHeight="1" x14ac:dyDescent="0.25">
      <c r="A290" s="119"/>
      <c r="B290" s="119"/>
      <c r="C290" s="123"/>
      <c r="D290" s="122"/>
      <c r="E290" s="119"/>
      <c r="F290" s="122"/>
      <c r="G290" s="122"/>
      <c r="H290" s="122"/>
      <c r="I290" s="122"/>
      <c r="J290" s="122"/>
      <c r="S290" s="120"/>
      <c r="X290" s="124"/>
    </row>
    <row r="291" spans="1:40" ht="12.75" customHeight="1" x14ac:dyDescent="0.25">
      <c r="A291" s="119"/>
      <c r="B291" s="119"/>
      <c r="C291" s="123"/>
      <c r="D291" s="122"/>
      <c r="E291" s="119"/>
      <c r="F291" s="122"/>
      <c r="G291" s="122"/>
      <c r="H291" s="122"/>
      <c r="I291" s="122"/>
      <c r="J291" s="122"/>
      <c r="S291" s="120"/>
      <c r="X291" s="124"/>
    </row>
    <row r="292" spans="1:40" ht="12.75" customHeight="1" x14ac:dyDescent="0.25">
      <c r="A292" s="119"/>
      <c r="B292" s="119"/>
      <c r="C292" s="123"/>
      <c r="D292" s="122"/>
      <c r="E292" s="119"/>
      <c r="F292" s="122"/>
      <c r="G292" s="122"/>
      <c r="H292" s="122"/>
      <c r="I292" s="122"/>
      <c r="J292" s="122"/>
      <c r="S292" s="120"/>
      <c r="X292" s="124"/>
    </row>
    <row r="293" spans="1:40" ht="12.75" customHeight="1" x14ac:dyDescent="0.25">
      <c r="A293" s="119"/>
      <c r="B293" s="119"/>
      <c r="C293" s="123"/>
      <c r="D293" s="122"/>
      <c r="E293" s="119"/>
      <c r="F293" s="122"/>
      <c r="G293" s="122"/>
      <c r="H293" s="122"/>
      <c r="I293" s="122"/>
      <c r="J293" s="122"/>
      <c r="S293" s="120"/>
      <c r="X293" s="124"/>
    </row>
    <row r="294" spans="1:40" ht="12.75" customHeight="1" x14ac:dyDescent="0.25">
      <c r="A294" s="119"/>
      <c r="B294" s="119"/>
      <c r="C294" s="123"/>
      <c r="D294" s="122"/>
      <c r="E294" s="119"/>
      <c r="F294" s="122"/>
      <c r="G294" s="122"/>
      <c r="H294" s="122"/>
      <c r="I294" s="122"/>
      <c r="J294" s="122"/>
      <c r="S294" s="120"/>
      <c r="X294" s="124"/>
    </row>
    <row r="295" spans="1:40" ht="12.75" customHeight="1" x14ac:dyDescent="0.25">
      <c r="A295" s="119"/>
      <c r="B295" s="119"/>
      <c r="C295" s="123"/>
      <c r="D295" s="122"/>
      <c r="E295" s="119"/>
      <c r="F295" s="122"/>
      <c r="G295" s="122"/>
      <c r="H295" s="122"/>
      <c r="I295" s="122"/>
      <c r="J295" s="122"/>
      <c r="S295" s="120"/>
      <c r="X295" s="124"/>
    </row>
    <row r="296" spans="1:40" ht="12.75" customHeight="1" x14ac:dyDescent="0.25">
      <c r="A296" s="119"/>
      <c r="B296" s="119"/>
      <c r="C296" s="123"/>
      <c r="D296" s="122"/>
      <c r="E296" s="119"/>
      <c r="F296" s="122"/>
      <c r="G296" s="122"/>
      <c r="H296" s="122"/>
      <c r="I296" s="122"/>
      <c r="J296" s="122"/>
      <c r="S296" s="120"/>
      <c r="X296" s="124"/>
    </row>
    <row r="297" spans="1:40" ht="12.75" customHeight="1" x14ac:dyDescent="0.25">
      <c r="A297" s="119"/>
      <c r="B297" s="119"/>
      <c r="C297" s="123"/>
      <c r="D297" s="122"/>
      <c r="E297" s="119"/>
      <c r="F297" s="122"/>
      <c r="G297" s="122"/>
      <c r="H297" s="122"/>
      <c r="I297" s="122"/>
      <c r="J297" s="122"/>
      <c r="S297" s="120"/>
      <c r="X297" s="124"/>
    </row>
    <row r="298" spans="1:40" ht="12.75" customHeight="1" x14ac:dyDescent="0.25">
      <c r="A298" s="119"/>
      <c r="B298" s="119"/>
      <c r="C298" s="123"/>
      <c r="D298" s="122"/>
      <c r="E298" s="119"/>
      <c r="F298" s="122"/>
      <c r="G298" s="122"/>
      <c r="H298" s="122"/>
      <c r="I298" s="122"/>
      <c r="J298" s="122"/>
      <c r="S298" s="120"/>
      <c r="X298" s="124"/>
    </row>
    <row r="299" spans="1:40" ht="12.75" customHeight="1" x14ac:dyDescent="0.25">
      <c r="A299" s="119"/>
      <c r="B299" s="119"/>
      <c r="C299" s="123"/>
      <c r="D299" s="122"/>
      <c r="E299" s="119"/>
      <c r="F299" s="122"/>
      <c r="G299" s="122"/>
      <c r="H299" s="122"/>
      <c r="I299" s="122"/>
      <c r="J299" s="122"/>
      <c r="S299" s="120"/>
      <c r="X299" s="124"/>
    </row>
    <row r="300" spans="1:40" ht="12.75" customHeight="1" x14ac:dyDescent="0.25">
      <c r="A300" s="119"/>
      <c r="B300" s="119"/>
      <c r="C300" s="123"/>
      <c r="D300" s="122"/>
      <c r="E300" s="119"/>
      <c r="F300" s="122"/>
      <c r="G300" s="122"/>
      <c r="H300" s="122"/>
      <c r="I300" s="122"/>
      <c r="J300" s="122"/>
      <c r="S300" s="120"/>
      <c r="X300" s="124"/>
    </row>
    <row r="301" spans="1:40" s="126" customFormat="1" ht="12.75" hidden="1" customHeight="1" thickBot="1" x14ac:dyDescent="0.3">
      <c r="A301" s="125"/>
      <c r="G301" s="127"/>
      <c r="H301" s="127"/>
      <c r="I301" s="127"/>
      <c r="J301" s="127"/>
      <c r="K301" s="127"/>
      <c r="L301" s="127"/>
      <c r="M301" s="127"/>
      <c r="N301" s="127"/>
      <c r="O301" s="125"/>
      <c r="P301" s="125"/>
      <c r="Q301" s="125"/>
      <c r="R301" s="125"/>
      <c r="S301" s="128"/>
      <c r="Y301" s="128"/>
    </row>
    <row r="302" spans="1:40" s="126" customFormat="1" ht="12.75" hidden="1" customHeight="1" thickBot="1" x14ac:dyDescent="0.3">
      <c r="A302" s="125"/>
      <c r="B302" s="223"/>
      <c r="C302" s="853" t="s">
        <v>52</v>
      </c>
      <c r="D302" s="855"/>
      <c r="E302" s="853" t="s">
        <v>0</v>
      </c>
      <c r="F302" s="855"/>
      <c r="G302" s="1011">
        <f t="shared" ref="G302" si="0">$C$10</f>
        <v>3000</v>
      </c>
      <c r="H302" s="1012"/>
      <c r="I302" s="1013"/>
      <c r="J302" s="127"/>
      <c r="K302" s="961" t="s">
        <v>95</v>
      </c>
      <c r="L302" s="963"/>
      <c r="M302" s="690" t="s">
        <v>61</v>
      </c>
      <c r="N302" s="130" t="s">
        <v>47</v>
      </c>
      <c r="O302" s="131" t="s">
        <v>48</v>
      </c>
      <c r="P302" s="131" t="s">
        <v>49</v>
      </c>
      <c r="Q302" s="131" t="s">
        <v>50</v>
      </c>
      <c r="R302" s="131" t="s">
        <v>51</v>
      </c>
      <c r="S302" s="132" t="s">
        <v>104</v>
      </c>
      <c r="U302" s="494">
        <f>IF(E324=1,W306,IF(E324=2,X306))</f>
        <v>-2.5000000000000001E-2</v>
      </c>
      <c r="V302" s="496" t="s">
        <v>109</v>
      </c>
      <c r="W302" s="495" t="s">
        <v>47</v>
      </c>
      <c r="X302" s="493" t="s">
        <v>48</v>
      </c>
      <c r="Y302" s="128"/>
      <c r="AA302" s="869" t="str">
        <f>$C$355</f>
        <v xml:space="preserve"> Level 1      ( No Cost to .5% Rebates )</v>
      </c>
      <c r="AB302" s="870"/>
      <c r="AC302" s="870"/>
      <c r="AD302" s="870"/>
      <c r="AE302" s="870"/>
      <c r="AF302" s="870"/>
      <c r="AG302" s="870"/>
      <c r="AH302" s="870"/>
      <c r="AI302" s="870"/>
      <c r="AJ302" s="870"/>
      <c r="AK302" s="870"/>
      <c r="AL302" s="870"/>
      <c r="AM302" s="870"/>
      <c r="AN302" s="871"/>
    </row>
    <row r="303" spans="1:40" s="126" customFormat="1" ht="12.75" hidden="1" customHeight="1" thickBot="1" x14ac:dyDescent="0.3">
      <c r="A303" s="125"/>
      <c r="B303" s="133"/>
      <c r="C303" s="204" t="s">
        <v>2</v>
      </c>
      <c r="D303" s="229">
        <f>$O$345</f>
        <v>6</v>
      </c>
      <c r="E303" s="211" t="s">
        <v>77</v>
      </c>
      <c r="F303" s="229">
        <f>$L$326</f>
        <v>3</v>
      </c>
      <c r="G303" s="1014"/>
      <c r="H303" s="1015"/>
      <c r="I303" s="1016"/>
      <c r="J303" s="127"/>
      <c r="K303" s="999"/>
      <c r="L303" s="1000"/>
      <c r="M303" s="281" t="s">
        <v>86</v>
      </c>
      <c r="N303" s="458">
        <v>5.0000000000000001E-3</v>
      </c>
      <c r="O303" s="459">
        <v>9.4999999999999998E-3</v>
      </c>
      <c r="P303" s="460">
        <v>1.4E-2</v>
      </c>
      <c r="Q303" s="459">
        <v>1.7000000000000001E-2</v>
      </c>
      <c r="R303" s="459">
        <v>2.5000000000000001E-2</v>
      </c>
      <c r="S303" s="461">
        <v>0.03</v>
      </c>
      <c r="V303" s="497" t="s">
        <v>86</v>
      </c>
      <c r="W303" s="539">
        <v>-2.5000000000000001E-2</v>
      </c>
      <c r="X303" s="616">
        <v>0</v>
      </c>
      <c r="Y303" s="239"/>
      <c r="AA303" s="1002" t="s">
        <v>190</v>
      </c>
      <c r="AB303" s="1020"/>
      <c r="AC303" s="1020"/>
      <c r="AD303" s="1020"/>
      <c r="AE303" s="1020"/>
      <c r="AF303" s="1020"/>
      <c r="AG303" s="1021"/>
      <c r="AH303" s="1002" t="s">
        <v>165</v>
      </c>
      <c r="AI303" s="1003"/>
      <c r="AJ303" s="1003"/>
      <c r="AK303" s="1003"/>
      <c r="AL303" s="1003"/>
      <c r="AM303" s="1003"/>
      <c r="AN303" s="1004"/>
    </row>
    <row r="304" spans="1:40" s="126" customFormat="1" ht="12.75" hidden="1" customHeight="1" thickBot="1" x14ac:dyDescent="0.3">
      <c r="A304" s="125"/>
      <c r="B304" s="134"/>
      <c r="C304" s="526" t="s">
        <v>36</v>
      </c>
      <c r="D304" s="529">
        <f>$E$346</f>
        <v>0.26950000000000002</v>
      </c>
      <c r="E304" s="527" t="s">
        <v>36</v>
      </c>
      <c r="F304" s="528">
        <f>$L$351</f>
        <v>1.2010000000000001</v>
      </c>
      <c r="G304" s="1017"/>
      <c r="H304" s="1018"/>
      <c r="I304" s="1019"/>
      <c r="J304" s="127"/>
      <c r="K304" s="999"/>
      <c r="L304" s="1000"/>
      <c r="M304" s="282" t="s">
        <v>87</v>
      </c>
      <c r="N304" s="462">
        <v>6.0000000000000001E-3</v>
      </c>
      <c r="O304" s="463">
        <v>0.01</v>
      </c>
      <c r="P304" s="464">
        <v>1.4500000000000001E-2</v>
      </c>
      <c r="Q304" s="463">
        <v>1.7500000000000002E-2</v>
      </c>
      <c r="R304" s="463">
        <v>2.5499999999999998E-2</v>
      </c>
      <c r="S304" s="465">
        <v>3.2500000000000001E-2</v>
      </c>
      <c r="T304" s="285"/>
      <c r="V304" s="135" t="s">
        <v>87</v>
      </c>
      <c r="W304" s="541">
        <v>-2.5000000000000001E-2</v>
      </c>
      <c r="X304" s="617">
        <v>0</v>
      </c>
      <c r="Y304" s="239"/>
      <c r="Z304" s="299"/>
      <c r="AA304" s="531"/>
      <c r="AB304" s="532" t="s">
        <v>130</v>
      </c>
      <c r="AC304" s="532"/>
      <c r="AD304" s="532"/>
      <c r="AE304" s="538" t="s">
        <v>130</v>
      </c>
      <c r="AF304" s="534" t="s">
        <v>130</v>
      </c>
      <c r="AG304" s="535"/>
      <c r="AH304" s="531"/>
      <c r="AI304" s="532" t="s">
        <v>130</v>
      </c>
      <c r="AJ304" s="532"/>
      <c r="AK304" s="532"/>
      <c r="AL304" s="629" t="s">
        <v>130</v>
      </c>
      <c r="AM304" s="534" t="s">
        <v>130</v>
      </c>
      <c r="AN304" s="535"/>
    </row>
    <row r="305" spans="1:40" s="126" customFormat="1" ht="12.75" hidden="1" customHeight="1" thickBot="1" x14ac:dyDescent="0.3">
      <c r="A305" s="125"/>
      <c r="B305" s="136"/>
      <c r="C305" s="888" t="s">
        <v>10</v>
      </c>
      <c r="D305" s="889"/>
      <c r="E305" s="888" t="s">
        <v>10</v>
      </c>
      <c r="F305" s="889"/>
      <c r="G305" s="127" t="s">
        <v>130</v>
      </c>
      <c r="H305" s="127"/>
      <c r="I305" s="127"/>
      <c r="J305" s="127"/>
      <c r="K305" s="198" t="s">
        <v>53</v>
      </c>
      <c r="L305" s="199">
        <f>G32</f>
        <v>3000</v>
      </c>
      <c r="M305" s="287" t="s">
        <v>88</v>
      </c>
      <c r="N305" s="466">
        <v>6.0000000000000001E-3</v>
      </c>
      <c r="O305" s="467">
        <v>1.0999999999999999E-2</v>
      </c>
      <c r="P305" s="468">
        <v>1.4999999999999999E-2</v>
      </c>
      <c r="Q305" s="467">
        <v>1.7999999999999999E-2</v>
      </c>
      <c r="R305" s="467">
        <v>2.5999999999999999E-2</v>
      </c>
      <c r="S305" s="469">
        <v>3.4000000000000002E-2</v>
      </c>
      <c r="T305" s="285"/>
      <c r="V305" s="202" t="s">
        <v>110</v>
      </c>
      <c r="W305" s="543">
        <v>-2.5000000000000001E-2</v>
      </c>
      <c r="X305" s="618">
        <v>0</v>
      </c>
      <c r="Y305" s="239"/>
      <c r="Z305" s="299"/>
      <c r="AA305" s="531"/>
      <c r="AB305" s="568" t="s">
        <v>197</v>
      </c>
      <c r="AC305" s="536"/>
      <c r="AD305" s="536"/>
      <c r="AE305" s="533">
        <v>0</v>
      </c>
      <c r="AF305" s="534" t="str">
        <f t="shared" ref="AF305" si="1">IF(AE305&lt;0,"Retention", IF(AE305&gt;0,"Rebate", IF(AE305=0,"No Cost")))</f>
        <v>No Cost</v>
      </c>
      <c r="AG305" s="537"/>
      <c r="AH305" s="531"/>
      <c r="AI305" s="568" t="s">
        <v>197</v>
      </c>
      <c r="AJ305" s="536"/>
      <c r="AK305" s="536"/>
      <c r="AL305" s="604">
        <f>$W$311</f>
        <v>0</v>
      </c>
      <c r="AM305" s="534" t="str">
        <f t="shared" ref="AM305" si="2">IF(AL305&lt;0,"Retention", IF(AL305&gt;0,"Rebate", IF(AL305=0,"No Cost")))</f>
        <v>No Cost</v>
      </c>
      <c r="AN305" s="563"/>
    </row>
    <row r="306" spans="1:40" s="126" customFormat="1" ht="12.75" hidden="1" customHeight="1" thickBot="1" x14ac:dyDescent="0.3">
      <c r="A306" s="125"/>
      <c r="B306" s="137"/>
      <c r="C306" s="138" t="s">
        <v>12</v>
      </c>
      <c r="D306" s="139">
        <f>$G$302</f>
        <v>3000</v>
      </c>
      <c r="E306" s="140" t="s">
        <v>12</v>
      </c>
      <c r="F306" s="206">
        <f>$G$302</f>
        <v>3000</v>
      </c>
      <c r="G306" s="127"/>
      <c r="H306" s="127"/>
      <c r="I306" s="127"/>
      <c r="J306" s="127"/>
      <c r="K306" s="509" t="s">
        <v>73</v>
      </c>
      <c r="L306" s="371">
        <f>L305*M306</f>
        <v>15</v>
      </c>
      <c r="M306" s="288">
        <f>IF(E324=1,N306,IF(E324=2,O306,IF(E324=3,P306,IF(E324=4,Q306,IF(E324=5,R306,IF(E324=6,S306))))))</f>
        <v>5.0000000000000001E-3</v>
      </c>
      <c r="N306" s="141">
        <f>IF(L305&gt;6000,N305, IF(L305&gt;3000,N304, IF(L305&gt;499,N303, "Min $500")))</f>
        <v>5.0000000000000001E-3</v>
      </c>
      <c r="O306" s="237">
        <f>IF(L305&gt;6000,O305, IF(L305&gt;3000,O304, IF(L305&gt;499,O303, "Min $500")))</f>
        <v>9.4999999999999998E-3</v>
      </c>
      <c r="P306" s="237">
        <f>IF(L305&gt;6000,P305, IF(L305&gt;3000,P304, IF(L305&gt;499,P303, "Min $500")))</f>
        <v>1.4E-2</v>
      </c>
      <c r="Q306" s="237">
        <f>IF(L305&gt;6000,Q305, IF(L305&gt;3000,Q304, IF(L305&gt;499,Q303, "Min $500")))</f>
        <v>1.7000000000000001E-2</v>
      </c>
      <c r="R306" s="237">
        <f>IF(L305&gt;6000,R305, IF(L305&gt;3000,R304, IF(L305&gt;499,R303, "Min $500")))</f>
        <v>2.5000000000000001E-2</v>
      </c>
      <c r="S306" s="238">
        <f>IF(L305&gt;6000,S305, IF(L305&gt;3000,S304, IF(L305&gt;499,S303, "Min $500")))</f>
        <v>0.03</v>
      </c>
      <c r="T306" s="240"/>
      <c r="V306" s="239"/>
      <c r="W306" s="239">
        <f>IF(L305&gt;6000,W305, IF(L305&gt;3000,W304, IF(L305&gt;499,W303, "Min $500")))</f>
        <v>-2.5000000000000001E-2</v>
      </c>
      <c r="X306" s="239">
        <f>IF(L305&gt;6000,X305, IF(L305&gt;3000,X304, IF(L305&gt;499,X303, "Min $500")))</f>
        <v>0</v>
      </c>
      <c r="Y306" s="241"/>
      <c r="Z306" s="299"/>
      <c r="AA306" s="531"/>
      <c r="AB306" s="532" t="s">
        <v>130</v>
      </c>
      <c r="AC306" s="536"/>
      <c r="AD306" s="536"/>
      <c r="AE306" s="538" t="s">
        <v>130</v>
      </c>
      <c r="AF306" s="534" t="s">
        <v>130</v>
      </c>
      <c r="AG306" s="537"/>
      <c r="AH306" s="531"/>
      <c r="AI306" s="532" t="s">
        <v>130</v>
      </c>
      <c r="AJ306" s="536"/>
      <c r="AK306" s="536"/>
      <c r="AL306" s="629" t="s">
        <v>130</v>
      </c>
      <c r="AM306" s="534" t="s">
        <v>130</v>
      </c>
      <c r="AN306" s="535"/>
    </row>
    <row r="307" spans="1:40" s="126" customFormat="1" ht="13.5" hidden="1" customHeight="1" thickBot="1" x14ac:dyDescent="0.3">
      <c r="A307" s="125"/>
      <c r="B307" s="144"/>
      <c r="C307" s="145" t="s">
        <v>14</v>
      </c>
      <c r="D307" s="146">
        <v>0</v>
      </c>
      <c r="E307" s="147" t="s">
        <v>14</v>
      </c>
      <c r="F307" s="205">
        <v>0</v>
      </c>
      <c r="G307" s="127"/>
      <c r="H307" s="127"/>
      <c r="I307" s="127"/>
      <c r="J307" s="127"/>
      <c r="K307" s="128"/>
      <c r="L307" s="128"/>
      <c r="M307" s="13"/>
      <c r="N307" s="128"/>
      <c r="O307" s="474"/>
      <c r="P307" s="474"/>
      <c r="Q307" s="13"/>
      <c r="R307" s="475"/>
      <c r="S307" s="128"/>
      <c r="Y307" s="241"/>
      <c r="Z307" s="257"/>
      <c r="AA307" s="947" t="s">
        <v>163</v>
      </c>
      <c r="AB307" s="1005"/>
      <c r="AC307" s="1005"/>
      <c r="AD307" s="1005"/>
      <c r="AE307" s="1005"/>
      <c r="AF307" s="1005"/>
      <c r="AG307" s="1006"/>
      <c r="AH307" s="947" t="s">
        <v>166</v>
      </c>
      <c r="AI307" s="948"/>
      <c r="AJ307" s="948"/>
      <c r="AK307" s="948"/>
      <c r="AL307" s="948"/>
      <c r="AM307" s="948"/>
      <c r="AN307" s="949"/>
    </row>
    <row r="308" spans="1:40" s="126" customFormat="1" ht="13.5" hidden="1" customHeight="1" thickBot="1" x14ac:dyDescent="0.3">
      <c r="A308" s="125"/>
      <c r="B308" s="148"/>
      <c r="C308" s="145" t="s">
        <v>17</v>
      </c>
      <c r="D308" s="149">
        <v>0</v>
      </c>
      <c r="E308" s="147" t="s">
        <v>17</v>
      </c>
      <c r="F308" s="205">
        <v>0</v>
      </c>
      <c r="G308" s="230"/>
      <c r="H308" s="127"/>
      <c r="I308" s="127"/>
      <c r="J308" s="127"/>
      <c r="K308" s="150"/>
      <c r="L308" s="150"/>
      <c r="M308" s="151"/>
      <c r="N308" s="150"/>
      <c r="O308" s="151"/>
      <c r="P308" s="150"/>
      <c r="Q308" s="151"/>
      <c r="R308" s="150"/>
      <c r="S308" s="128"/>
      <c r="T308" s="993" t="s">
        <v>2</v>
      </c>
      <c r="U308" s="1001"/>
      <c r="V308" s="994"/>
      <c r="W308" s="245">
        <f>IF(E324=1,T313,IF(E324=2,U313,IF(E324=3,V313,IF(E324=4,W313,IF(E324=5,X313)))))</f>
        <v>-4.4999999999999998E-2</v>
      </c>
      <c r="X308" s="360" t="s">
        <v>134</v>
      </c>
      <c r="Y308" s="240"/>
      <c r="Z308" s="258"/>
      <c r="AA308" s="531"/>
      <c r="AB308" s="532" t="s">
        <v>130</v>
      </c>
      <c r="AC308" s="532"/>
      <c r="AD308" s="532"/>
      <c r="AE308" s="629" t="s">
        <v>130</v>
      </c>
      <c r="AF308" s="534" t="s">
        <v>130</v>
      </c>
      <c r="AG308" s="537"/>
      <c r="AH308" s="531"/>
      <c r="AI308" s="532" t="s">
        <v>130</v>
      </c>
      <c r="AJ308" s="534"/>
      <c r="AK308" s="534"/>
      <c r="AL308" s="631" t="s">
        <v>130</v>
      </c>
      <c r="AM308" s="532" t="s">
        <v>130</v>
      </c>
      <c r="AN308" s="564"/>
    </row>
    <row r="309" spans="1:40" s="126" customFormat="1" ht="13.5" hidden="1" customHeight="1" thickBot="1" x14ac:dyDescent="0.3">
      <c r="A309" s="125"/>
      <c r="B309" s="148"/>
      <c r="C309" s="145" t="s">
        <v>4</v>
      </c>
      <c r="D309" s="152">
        <f>$G$346</f>
        <v>95</v>
      </c>
      <c r="E309" s="147" t="s">
        <v>4</v>
      </c>
      <c r="F309" s="207">
        <f>$D$309</f>
        <v>95</v>
      </c>
      <c r="H309" s="127"/>
      <c r="I309" s="127"/>
      <c r="J309" s="127"/>
      <c r="K309" s="961" t="s">
        <v>148</v>
      </c>
      <c r="L309" s="963"/>
      <c r="M309" s="129" t="s">
        <v>61</v>
      </c>
      <c r="N309" s="130" t="s">
        <v>47</v>
      </c>
      <c r="O309" s="131" t="s">
        <v>48</v>
      </c>
      <c r="P309" s="131" t="s">
        <v>49</v>
      </c>
      <c r="Q309" s="131" t="s">
        <v>50</v>
      </c>
      <c r="R309" s="132" t="s">
        <v>51</v>
      </c>
      <c r="S309" s="128"/>
      <c r="T309" s="242" t="s">
        <v>47</v>
      </c>
      <c r="U309" s="243" t="s">
        <v>48</v>
      </c>
      <c r="V309" s="243" t="s">
        <v>49</v>
      </c>
      <c r="W309" s="359" t="s">
        <v>50</v>
      </c>
      <c r="X309" s="244" t="s">
        <v>51</v>
      </c>
      <c r="Y309" s="240"/>
      <c r="Z309" s="299"/>
      <c r="AA309" s="531"/>
      <c r="AB309" s="568" t="s">
        <v>197</v>
      </c>
      <c r="AC309" s="536"/>
      <c r="AD309" s="536"/>
      <c r="AE309" s="604">
        <f>$X$304</f>
        <v>0</v>
      </c>
      <c r="AF309" s="534" t="str">
        <f t="shared" ref="AF309" si="3">IF(AE309&lt;0,"Retention", IF(AE309&gt;0,"Rebate", IF(AE309=0,"No Cost")))</f>
        <v>No Cost</v>
      </c>
      <c r="AG309" s="537"/>
      <c r="AH309" s="531"/>
      <c r="AI309" s="568" t="s">
        <v>141</v>
      </c>
      <c r="AJ309" s="536"/>
      <c r="AK309" s="536"/>
      <c r="AL309" s="604">
        <f>$Q$317</f>
        <v>0</v>
      </c>
      <c r="AM309" s="534" t="str">
        <f t="shared" ref="AM309:AM310" si="4">IF(AL309&lt;0,"Retention", IF(AL309&gt;0,"Rebate", IF(AL309=0,"No Cost")))</f>
        <v>No Cost</v>
      </c>
      <c r="AN309" s="564"/>
    </row>
    <row r="310" spans="1:40" s="126" customFormat="1" ht="13.5" hidden="1" customHeight="1" thickBot="1" x14ac:dyDescent="0.3">
      <c r="A310" s="125"/>
      <c r="B310" s="153" t="s">
        <v>20</v>
      </c>
      <c r="C310" s="154" t="s">
        <v>19</v>
      </c>
      <c r="D310" s="149">
        <f>D306+D308+D309</f>
        <v>3095</v>
      </c>
      <c r="E310" s="155" t="s">
        <v>19</v>
      </c>
      <c r="F310" s="205">
        <f>F306+F308+F309</f>
        <v>3095</v>
      </c>
      <c r="H310" s="127"/>
      <c r="I310" s="127"/>
      <c r="J310" s="127"/>
      <c r="K310" s="999"/>
      <c r="L310" s="1000"/>
      <c r="M310" s="165" t="s">
        <v>86</v>
      </c>
      <c r="N310" s="548">
        <v>-3.5000000000000003E-2</v>
      </c>
      <c r="O310" s="664">
        <v>-3.3000000000000002E-2</v>
      </c>
      <c r="P310" s="664">
        <v>0</v>
      </c>
      <c r="Q310" s="666">
        <v>1.4999999999999999E-2</v>
      </c>
      <c r="R310" s="461">
        <v>2.5999999999999999E-2</v>
      </c>
      <c r="T310" s="545">
        <v>-4.4999999999999998E-2</v>
      </c>
      <c r="U310" s="653">
        <v>-4.4999999999999998E-2</v>
      </c>
      <c r="V310" s="653">
        <v>-2.5000000000000001E-2</v>
      </c>
      <c r="W310" s="650">
        <v>0</v>
      </c>
      <c r="X310" s="540">
        <v>2.5000000000000001E-2</v>
      </c>
      <c r="Y310" s="240"/>
      <c r="Z310" s="299"/>
      <c r="AA310" s="531"/>
      <c r="AB310" s="532" t="s">
        <v>130</v>
      </c>
      <c r="AC310" s="536"/>
      <c r="AD310" s="536"/>
      <c r="AE310" s="629" t="s">
        <v>130</v>
      </c>
      <c r="AF310" s="534" t="s">
        <v>130</v>
      </c>
      <c r="AG310" s="537"/>
      <c r="AH310" s="632"/>
      <c r="AI310" s="633" t="s">
        <v>206</v>
      </c>
      <c r="AJ310" s="634"/>
      <c r="AK310" s="634"/>
      <c r="AL310" s="635">
        <f>$Q$318</f>
        <v>5.0000000000000001E-3</v>
      </c>
      <c r="AM310" s="636" t="str">
        <f t="shared" si="4"/>
        <v>Rebate</v>
      </c>
      <c r="AN310" s="637"/>
    </row>
    <row r="311" spans="1:40" s="126" customFormat="1" ht="13.5" hidden="1" customHeight="1" x14ac:dyDescent="0.25">
      <c r="A311" s="125"/>
      <c r="B311" s="153" t="s">
        <v>22</v>
      </c>
      <c r="C311" s="157" t="s">
        <v>21</v>
      </c>
      <c r="D311" s="158">
        <f>$G$10</f>
        <v>0</v>
      </c>
      <c r="E311" s="159" t="s">
        <v>21</v>
      </c>
      <c r="F311" s="208">
        <f>$G$10</f>
        <v>0</v>
      </c>
      <c r="G311" s="304" t="s">
        <v>128</v>
      </c>
      <c r="H311" s="127"/>
      <c r="I311" s="127"/>
      <c r="J311" s="127"/>
      <c r="K311" s="999"/>
      <c r="L311" s="1000"/>
      <c r="M311" s="165" t="s">
        <v>87</v>
      </c>
      <c r="N311" s="549">
        <v>-3.5000000000000003E-2</v>
      </c>
      <c r="O311" s="648">
        <v>-3.2000000000000001E-2</v>
      </c>
      <c r="P311" s="648">
        <v>0</v>
      </c>
      <c r="Q311" s="645">
        <v>1.6E-2</v>
      </c>
      <c r="R311" s="465">
        <v>2.7E-2</v>
      </c>
      <c r="S311" s="286"/>
      <c r="T311" s="546">
        <v>-4.4999999999999998E-2</v>
      </c>
      <c r="U311" s="627">
        <v>-4.2500000000000003E-2</v>
      </c>
      <c r="V311" s="627">
        <v>-2.5000000000000001E-2</v>
      </c>
      <c r="W311" s="651">
        <v>0</v>
      </c>
      <c r="X311" s="542">
        <v>2.2499999999999999E-2</v>
      </c>
      <c r="Y311" s="240"/>
      <c r="Z311" s="299"/>
      <c r="AA311" s="947" t="s">
        <v>164</v>
      </c>
      <c r="AB311" s="948"/>
      <c r="AC311" s="948"/>
      <c r="AD311" s="948"/>
      <c r="AE311" s="948"/>
      <c r="AF311" s="948"/>
      <c r="AG311" s="949"/>
      <c r="AH311" s="1007" t="s">
        <v>130</v>
      </c>
      <c r="AI311" s="1008"/>
      <c r="AJ311" s="1008"/>
      <c r="AK311" s="1008"/>
      <c r="AL311" s="1008"/>
      <c r="AM311" s="1008"/>
      <c r="AN311" s="1009"/>
    </row>
    <row r="312" spans="1:40" s="126" customFormat="1" ht="13.5" hidden="1" customHeight="1" thickBot="1" x14ac:dyDescent="0.3">
      <c r="A312" s="125"/>
      <c r="B312" s="163" t="s">
        <v>24</v>
      </c>
      <c r="C312" s="154" t="s">
        <v>23</v>
      </c>
      <c r="D312" s="164">
        <f>D310-D311</f>
        <v>3095</v>
      </c>
      <c r="E312" s="155" t="s">
        <v>23</v>
      </c>
      <c r="F312" s="209">
        <f>F310-F311</f>
        <v>3095</v>
      </c>
      <c r="G312" s="305">
        <f>L351/10</f>
        <v>0.1201</v>
      </c>
      <c r="H312" s="127"/>
      <c r="I312" s="127"/>
      <c r="J312" s="127"/>
      <c r="K312" s="964"/>
      <c r="L312" s="966"/>
      <c r="M312" s="167" t="s">
        <v>88</v>
      </c>
      <c r="N312" s="550">
        <v>-3.5000000000000003E-2</v>
      </c>
      <c r="O312" s="665">
        <v>-0.03</v>
      </c>
      <c r="P312" s="665">
        <v>0</v>
      </c>
      <c r="Q312" s="667">
        <v>1.7000000000000001E-2</v>
      </c>
      <c r="R312" s="470">
        <v>2.8000000000000001E-2</v>
      </c>
      <c r="S312" s="260"/>
      <c r="T312" s="547">
        <v>-4.4999999999999998E-2</v>
      </c>
      <c r="U312" s="628">
        <v>-0.04</v>
      </c>
      <c r="V312" s="628">
        <v>-2.5000000000000001E-2</v>
      </c>
      <c r="W312" s="652">
        <v>0</v>
      </c>
      <c r="X312" s="544">
        <v>2.1499999999999998E-2</v>
      </c>
      <c r="Y312" s="240"/>
      <c r="AA312" s="531"/>
      <c r="AB312" s="532" t="s">
        <v>130</v>
      </c>
      <c r="AC312" s="561"/>
      <c r="AD312" s="561"/>
      <c r="AE312" s="638" t="s">
        <v>130</v>
      </c>
      <c r="AF312" s="534" t="s">
        <v>130</v>
      </c>
      <c r="AG312" s="535"/>
      <c r="AH312" s="531"/>
      <c r="AI312" s="532" t="s">
        <v>130</v>
      </c>
      <c r="AJ312" s="532"/>
      <c r="AK312" s="532"/>
      <c r="AL312" s="629" t="s">
        <v>130</v>
      </c>
      <c r="AM312" s="534" t="s">
        <v>130</v>
      </c>
      <c r="AN312" s="564"/>
    </row>
    <row r="313" spans="1:40" s="126" customFormat="1" ht="13.5" hidden="1" customHeight="1" thickBot="1" x14ac:dyDescent="0.3">
      <c r="A313" s="125"/>
      <c r="B313" s="153"/>
      <c r="C313" s="145" t="s">
        <v>62</v>
      </c>
      <c r="D313" s="164">
        <f>D316-D312-D314</f>
        <v>238.18</v>
      </c>
      <c r="E313" s="147" t="s">
        <v>62</v>
      </c>
      <c r="F313" s="209">
        <f>F316-F312-F314</f>
        <v>66.52</v>
      </c>
      <c r="G313" s="306">
        <f>D313*G312</f>
        <v>28.61</v>
      </c>
      <c r="H313" s="127"/>
      <c r="I313" s="127"/>
      <c r="J313" s="127"/>
      <c r="K313" s="201" t="s">
        <v>74</v>
      </c>
      <c r="L313" s="271">
        <f>L305*M313</f>
        <v>-105</v>
      </c>
      <c r="M313" s="200">
        <f>IF(E324=1,N313,IF(E324=2,O313,IF(E324=3,P313,IF(E324=4,Q313,IF(E324=5,R313)))))</f>
        <v>-3.5000000000000003E-2</v>
      </c>
      <c r="N313" s="141">
        <f>IF(L305&gt;6000,N312, IF(L305&gt;3000,N311, IF(L305&gt;499,N310, "Min $500")))</f>
        <v>-3.5000000000000003E-2</v>
      </c>
      <c r="O313" s="142">
        <f>IF(L305&gt;6000,O312, IF(L305&gt;3000,O311, IF(L305&gt;499,O310, "Min $500")))</f>
        <v>-3.3000000000000002E-2</v>
      </c>
      <c r="P313" s="142">
        <f>IF(L305&gt;6000,P312, IF(L305&gt;3000,P311, IF(L305&gt;499,P310, "Min $500")))</f>
        <v>0</v>
      </c>
      <c r="Q313" s="142">
        <f>IF(L305&gt;6000,Q312, IF(L305&gt;3000,Q311, IF(L305&gt;499,Q310, "Min $500")))</f>
        <v>1.4999999999999999E-2</v>
      </c>
      <c r="R313" s="143">
        <f>IF(L305&gt;6000,R312, IF(L305&gt;3000,R311, IF(L305&gt;499,R310, "Min $500")))</f>
        <v>2.5999999999999999E-2</v>
      </c>
      <c r="S313" s="260"/>
      <c r="T313" s="239">
        <f>IF(L305&gt;6000,T312,IF(L305&gt;3000,T311,IF(L305&gt;499,T310,"Min $500")))</f>
        <v>-4.4999999999999998E-2</v>
      </c>
      <c r="U313" s="239">
        <f>IF(L305&gt;6000,U312,IF(L305&gt;3000,U311,IF(L305&gt;499,U310,"Min $500")))</f>
        <v>-4.4999999999999998E-2</v>
      </c>
      <c r="V313" s="239">
        <f>IF(L305&gt;6000,V312,IF(L305&gt;3000,V311,IF(L305&gt;499,V310,"Min $500")))</f>
        <v>-2.5000000000000001E-2</v>
      </c>
      <c r="W313" s="239">
        <f>IF(L305&gt;6000,W312,IF(L305&gt;3000,W311,IF(L305&gt;499,W310,"Min $500")))</f>
        <v>0</v>
      </c>
      <c r="X313" s="239">
        <f>IF(L305&gt;6000,X312,IF(L305&gt;3000,X311,IF(L305&gt;499,X310,"Min $500")))</f>
        <v>2.5000000000000001E-2</v>
      </c>
      <c r="Y313" s="240"/>
      <c r="AA313" s="531"/>
      <c r="AB313" s="568" t="s">
        <v>197</v>
      </c>
      <c r="AC313" s="532"/>
      <c r="AD313" s="532"/>
      <c r="AE313" s="629">
        <f>$P$311</f>
        <v>0</v>
      </c>
      <c r="AF313" s="534" t="str">
        <f>IF(AE313&lt;0,"Retention", IF(AE313&gt;0,"Rebate", IF(AE313=0,"No Cost")))</f>
        <v>No Cost</v>
      </c>
      <c r="AG313" s="563"/>
      <c r="AH313" s="531"/>
      <c r="AI313" s="532" t="s">
        <v>130</v>
      </c>
      <c r="AJ313" s="536"/>
      <c r="AK313" s="536"/>
      <c r="AL313" s="604" t="s">
        <v>130</v>
      </c>
      <c r="AM313" s="534" t="s">
        <v>130</v>
      </c>
      <c r="AN313" s="564"/>
    </row>
    <row r="314" spans="1:40" s="126" customFormat="1" ht="13.5" hidden="1" customHeight="1" thickBot="1" x14ac:dyDescent="0.3">
      <c r="A314" s="125"/>
      <c r="B314" s="153"/>
      <c r="C314" s="145" t="s">
        <v>63</v>
      </c>
      <c r="D314" s="164">
        <f>$F$314</f>
        <v>28.5</v>
      </c>
      <c r="E314" s="147" t="s">
        <v>63</v>
      </c>
      <c r="F314" s="672">
        <f>4.75*D303</f>
        <v>28.5</v>
      </c>
      <c r="G314" s="307">
        <f>G312*10</f>
        <v>1.2010000000000001</v>
      </c>
      <c r="H314" s="127"/>
      <c r="I314" s="127"/>
      <c r="J314" s="127"/>
      <c r="S314" s="260"/>
      <c r="Y314" s="240"/>
      <c r="AA314" s="531"/>
      <c r="AB314" s="532" t="s">
        <v>130</v>
      </c>
      <c r="AC314" s="536"/>
      <c r="AD314" s="536"/>
      <c r="AE314" s="629" t="s">
        <v>130</v>
      </c>
      <c r="AF314" s="534" t="s">
        <v>130</v>
      </c>
      <c r="AG314" s="535"/>
      <c r="AH314" s="531"/>
      <c r="AI314" s="532" t="s">
        <v>130</v>
      </c>
      <c r="AJ314" s="536"/>
      <c r="AK314" s="536"/>
      <c r="AL314" s="604" t="s">
        <v>130</v>
      </c>
      <c r="AM314" s="534" t="s">
        <v>130</v>
      </c>
      <c r="AN314" s="564"/>
    </row>
    <row r="315" spans="1:40" s="126" customFormat="1" ht="13.5" hidden="1" customHeight="1" thickBot="1" x14ac:dyDescent="0.3">
      <c r="B315" s="153" t="s">
        <v>27</v>
      </c>
      <c r="C315" s="154" t="s">
        <v>26</v>
      </c>
      <c r="D315" s="164">
        <f>D313+D314</f>
        <v>266.68</v>
      </c>
      <c r="E315" s="155" t="s">
        <v>26</v>
      </c>
      <c r="F315" s="209">
        <f>F313+F314</f>
        <v>95.02</v>
      </c>
      <c r="H315" s="127"/>
      <c r="I315" s="127"/>
      <c r="J315" s="127"/>
      <c r="K315" s="961" t="s">
        <v>149</v>
      </c>
      <c r="L315" s="963"/>
      <c r="M315" s="691" t="s">
        <v>61</v>
      </c>
      <c r="N315" s="161" t="s">
        <v>48</v>
      </c>
      <c r="O315" s="161" t="s">
        <v>49</v>
      </c>
      <c r="P315" s="161" t="s">
        <v>50</v>
      </c>
      <c r="Q315" s="283" t="s">
        <v>51</v>
      </c>
      <c r="R315" s="162" t="s">
        <v>104</v>
      </c>
      <c r="S315" s="260"/>
      <c r="T315" s="993" t="s">
        <v>2</v>
      </c>
      <c r="U315" s="1001"/>
      <c r="V315" s="994"/>
      <c r="W315" s="381" t="b">
        <f>IF(E324=3,U320,IF(E324=4,V320,IF(E324=5,W320,IF(E324=6,X320,IF(E324=2,T320)))))</f>
        <v>0</v>
      </c>
      <c r="X315" s="360" t="s">
        <v>107</v>
      </c>
      <c r="Y315" s="240"/>
      <c r="AA315" s="869" t="str">
        <f>$C$356</f>
        <v xml:space="preserve"> Level 2      ( .5% Rebates to -2.5% Retentions )</v>
      </c>
      <c r="AB315" s="870"/>
      <c r="AC315" s="870"/>
      <c r="AD315" s="870"/>
      <c r="AE315" s="870"/>
      <c r="AF315" s="870"/>
      <c r="AG315" s="870"/>
      <c r="AH315" s="870"/>
      <c r="AI315" s="870"/>
      <c r="AJ315" s="870"/>
      <c r="AK315" s="870"/>
      <c r="AL315" s="870"/>
      <c r="AM315" s="870"/>
      <c r="AN315" s="871"/>
    </row>
    <row r="316" spans="1:40" s="126" customFormat="1" ht="13.5" hidden="1" customHeight="1" thickBot="1" x14ac:dyDescent="0.3">
      <c r="B316" s="153" t="s">
        <v>32</v>
      </c>
      <c r="C316" s="154" t="s">
        <v>31</v>
      </c>
      <c r="D316" s="164">
        <f>D321*D303</f>
        <v>3361.68</v>
      </c>
      <c r="E316" s="155" t="s">
        <v>31</v>
      </c>
      <c r="F316" s="209">
        <f>(F321*O345)</f>
        <v>3190.02</v>
      </c>
      <c r="G316" s="686"/>
      <c r="H316" s="127"/>
      <c r="I316" s="127"/>
      <c r="J316" s="127"/>
      <c r="K316" s="999"/>
      <c r="L316" s="1000"/>
      <c r="M316" s="234" t="s">
        <v>86</v>
      </c>
      <c r="N316" s="551">
        <v>-5.5E-2</v>
      </c>
      <c r="O316" s="647">
        <v>-4.4999999999999998E-2</v>
      </c>
      <c r="P316" s="644">
        <v>-3.5000000000000003E-2</v>
      </c>
      <c r="Q316" s="552">
        <v>0</v>
      </c>
      <c r="R316" s="553">
        <v>2.5000000000000001E-2</v>
      </c>
      <c r="S316" s="231"/>
      <c r="T316" s="242" t="s">
        <v>48</v>
      </c>
      <c r="U316" s="243" t="s">
        <v>49</v>
      </c>
      <c r="V316" s="243" t="s">
        <v>50</v>
      </c>
      <c r="W316" s="243" t="s">
        <v>51</v>
      </c>
      <c r="X316" s="244" t="s">
        <v>104</v>
      </c>
      <c r="Y316" s="240"/>
      <c r="AA316" s="1002" t="s">
        <v>167</v>
      </c>
      <c r="AB316" s="1003"/>
      <c r="AC316" s="1003"/>
      <c r="AD316" s="1003"/>
      <c r="AE316" s="1003"/>
      <c r="AF316" s="1003"/>
      <c r="AG316" s="1004"/>
      <c r="AH316" s="1002" t="s">
        <v>165</v>
      </c>
      <c r="AI316" s="1003"/>
      <c r="AJ316" s="1003"/>
      <c r="AK316" s="1003"/>
      <c r="AL316" s="1003"/>
      <c r="AM316" s="1003"/>
      <c r="AN316" s="1004"/>
    </row>
    <row r="317" spans="1:40" s="126" customFormat="1" ht="13.5" hidden="1" customHeight="1" thickBot="1" x14ac:dyDescent="0.3">
      <c r="B317" s="224" t="s">
        <v>35</v>
      </c>
      <c r="C317" s="212" t="s">
        <v>30</v>
      </c>
      <c r="D317" s="213">
        <f>D311+D316</f>
        <v>3361.68</v>
      </c>
      <c r="E317" s="214" t="s">
        <v>30</v>
      </c>
      <c r="F317" s="215">
        <f>F311+F316</f>
        <v>3190.02</v>
      </c>
      <c r="G317" s="160"/>
      <c r="H317" s="127"/>
      <c r="I317" s="127"/>
      <c r="J317" s="127"/>
      <c r="K317" s="964"/>
      <c r="L317" s="966"/>
      <c r="M317" s="234" t="s">
        <v>87</v>
      </c>
      <c r="N317" s="554">
        <v>-5.5E-2</v>
      </c>
      <c r="O317" s="648">
        <v>-4.4999999999999998E-2</v>
      </c>
      <c r="P317" s="645">
        <v>-3.4000000000000002E-2</v>
      </c>
      <c r="Q317" s="555">
        <v>0</v>
      </c>
      <c r="R317" s="556">
        <v>2.5000000000000001E-2</v>
      </c>
      <c r="T317" s="372">
        <v>-7.9000000000000001E-2</v>
      </c>
      <c r="U317" s="473">
        <v>-7.6999999999999999E-2</v>
      </c>
      <c r="V317" s="473">
        <v>-5.3999999999999999E-2</v>
      </c>
      <c r="W317" s="626">
        <v>-3.5000000000000003E-2</v>
      </c>
      <c r="X317" s="560">
        <v>-2.5000000000000001E-2</v>
      </c>
      <c r="Y317" s="240"/>
      <c r="AA317" s="531"/>
      <c r="AB317" s="532" t="s">
        <v>130</v>
      </c>
      <c r="AC317" s="561"/>
      <c r="AD317" s="561"/>
      <c r="AE317" s="565" t="s">
        <v>130</v>
      </c>
      <c r="AF317" s="534" t="s">
        <v>130</v>
      </c>
      <c r="AG317" s="535"/>
      <c r="AH317" s="531"/>
      <c r="AI317" s="532" t="s">
        <v>130</v>
      </c>
      <c r="AJ317" s="532"/>
      <c r="AK317" s="532"/>
      <c r="AL317" s="538" t="s">
        <v>130</v>
      </c>
      <c r="AM317" s="534" t="s">
        <v>130</v>
      </c>
      <c r="AN317" s="564"/>
    </row>
    <row r="318" spans="1:40" s="126" customFormat="1" ht="13.5" hidden="1" customHeight="1" thickBot="1" x14ac:dyDescent="0.3">
      <c r="C318" s="221" t="s">
        <v>78</v>
      </c>
      <c r="D318" s="222">
        <f>PV(D319/12, D303, -D321)</f>
        <v>3112.5</v>
      </c>
      <c r="E318" s="220"/>
      <c r="F318" s="222">
        <f>PV(F320/12, D303, -F321)</f>
        <v>3095.27</v>
      </c>
      <c r="H318" s="127"/>
      <c r="I318" s="127"/>
      <c r="J318" s="127"/>
      <c r="K318" s="166" t="s">
        <v>65</v>
      </c>
      <c r="L318" s="237" t="b">
        <f>IF(E324=2,N319,IF(E324=3,O319,IF(E324=4,P319,IF(E324=5,Q319,IF(E324=6,R319)))))</f>
        <v>0</v>
      </c>
      <c r="M318" s="235" t="s">
        <v>88</v>
      </c>
      <c r="N318" s="557">
        <v>-5.5E-2</v>
      </c>
      <c r="O318" s="649">
        <v>-4.4999999999999998E-2</v>
      </c>
      <c r="P318" s="646">
        <v>-3.3000000000000002E-2</v>
      </c>
      <c r="Q318" s="558">
        <v>5.0000000000000001E-3</v>
      </c>
      <c r="R318" s="559">
        <v>2.5000000000000001E-2</v>
      </c>
      <c r="T318" s="364">
        <v>-7.9000000000000001E-2</v>
      </c>
      <c r="U318" s="362">
        <v>-7.6999999999999999E-2</v>
      </c>
      <c r="V318" s="362">
        <v>-5.3999999999999999E-2</v>
      </c>
      <c r="W318" s="627">
        <v>-3.5000000000000003E-2</v>
      </c>
      <c r="X318" s="542">
        <v>-2.4E-2</v>
      </c>
      <c r="Y318" s="240"/>
      <c r="Z318" s="258"/>
      <c r="AA318" s="531"/>
      <c r="AB318" s="568" t="s">
        <v>197</v>
      </c>
      <c r="AC318" s="532"/>
      <c r="AD318" s="532"/>
      <c r="AE318" s="566">
        <f>$W$304</f>
        <v>-2.5000000000000001E-2</v>
      </c>
      <c r="AF318" s="534" t="str">
        <f>IF(AE318&lt;0,"Retention", IF(AE318&gt;0,"Rebate", IF(AE318=0,"No Cost")))</f>
        <v>Retention</v>
      </c>
      <c r="AG318" s="537"/>
      <c r="AH318" s="531"/>
      <c r="AI318" s="568" t="s">
        <v>197</v>
      </c>
      <c r="AJ318" s="536"/>
      <c r="AK318" s="536"/>
      <c r="AL318" s="533">
        <f>$W$311</f>
        <v>0</v>
      </c>
      <c r="AM318" s="534" t="str">
        <f t="shared" ref="AM318" si="5">IF(AL318&lt;0,"Retention", IF(AL318&gt;0,"Rebate", IF(AL318=0,"No Cost")))</f>
        <v>No Cost</v>
      </c>
      <c r="AN318" s="564"/>
    </row>
    <row r="319" spans="1:40" s="126" customFormat="1" ht="13.5" hidden="1" customHeight="1" thickBot="1" x14ac:dyDescent="0.3">
      <c r="B319" s="225"/>
      <c r="C319" s="216" t="s">
        <v>36</v>
      </c>
      <c r="D319" s="217">
        <f>$D$304</f>
        <v>0.26950000000000002</v>
      </c>
      <c r="E319" s="218" t="s">
        <v>36</v>
      </c>
      <c r="F319" s="219">
        <f>$D$304</f>
        <v>0.26950000000000002</v>
      </c>
      <c r="G319" s="210"/>
      <c r="H319" s="127"/>
      <c r="I319" s="127"/>
      <c r="J319" s="127"/>
      <c r="K319" s="232" t="s">
        <v>53</v>
      </c>
      <c r="L319" s="233">
        <f>L305</f>
        <v>3000</v>
      </c>
      <c r="M319" s="236"/>
      <c r="N319" s="237">
        <f>IF(L319&gt;6000,N318, IF(L319&gt;3000,N317, IF(L319&gt;499,N316, "Min $500")))</f>
        <v>-5.5E-2</v>
      </c>
      <c r="O319" s="237">
        <f>IF(L319&gt;6000,O318, IF(L319&gt;3000,O317, IF(L319&gt;499,O316, "Min $500")))</f>
        <v>-4.4999999999999998E-2</v>
      </c>
      <c r="P319" s="237">
        <f>IF(L319&gt;6000,P318, IF(L319&gt;3000,P317, IF(L319&gt;499,P316, "Min $500")))</f>
        <v>-3.5000000000000003E-2</v>
      </c>
      <c r="Q319" s="284">
        <f>IF(L319&gt;6000,Q318, IF(L319&gt;3000,Q317, IF(L319&gt;499,Q316, "Min $500")))</f>
        <v>0</v>
      </c>
      <c r="R319" s="238">
        <f>IF(L319&gt;6000,R318, IF(L319&gt;3000,R317, IF(L319&gt;499,R316, "Min $500")))</f>
        <v>2.5000000000000001E-2</v>
      </c>
      <c r="T319" s="365">
        <v>-7.9000000000000001E-2</v>
      </c>
      <c r="U319" s="366">
        <v>-7.6999999999999999E-2</v>
      </c>
      <c r="V319" s="366">
        <v>-6.4000000000000001E-2</v>
      </c>
      <c r="W319" s="628">
        <v>-3.5000000000000003E-2</v>
      </c>
      <c r="X319" s="544">
        <v>-0.02</v>
      </c>
      <c r="Y319" s="240"/>
      <c r="Z319" s="297"/>
      <c r="AA319" s="531"/>
      <c r="AB319" s="532" t="s">
        <v>130</v>
      </c>
      <c r="AC319" s="536"/>
      <c r="AD319" s="536"/>
      <c r="AE319" s="566" t="s">
        <v>130</v>
      </c>
      <c r="AF319" s="534" t="s">
        <v>130</v>
      </c>
      <c r="AG319" s="537"/>
      <c r="AH319" s="531"/>
      <c r="AI319" s="532" t="s">
        <v>130</v>
      </c>
      <c r="AJ319" s="536"/>
      <c r="AK319" s="536"/>
      <c r="AL319" s="533" t="s">
        <v>130</v>
      </c>
      <c r="AM319" s="534" t="s">
        <v>130</v>
      </c>
      <c r="AN319" s="564"/>
    </row>
    <row r="320" spans="1:40" s="126" customFormat="1" hidden="1" x14ac:dyDescent="0.25">
      <c r="B320" s="137"/>
      <c r="C320" s="168" t="s">
        <v>98</v>
      </c>
      <c r="D320" s="227">
        <f>RATE( D303,D321*-1,D312,0,0)*12</f>
        <v>0.28970000000000001</v>
      </c>
      <c r="E320" s="169" t="s">
        <v>98</v>
      </c>
      <c r="F320" s="226">
        <f>RATE( D303,F321*-1,F312,F319,0)*12</f>
        <v>0.1042</v>
      </c>
      <c r="G320" s="686"/>
      <c r="H320" s="127"/>
      <c r="I320" s="127"/>
      <c r="J320" s="127"/>
      <c r="T320" s="239">
        <f>IF(L319&gt;6000,T319,IF(L319&gt;3000,T318,IF(L319&gt;499,T317,"Min $500")))</f>
        <v>-7.9000000000000001E-2</v>
      </c>
      <c r="U320" s="239">
        <f>IF(L319&gt;6000,U319,IF(L319&gt;3000,U318,IF(L319&gt;499,U317,"Min $500")))</f>
        <v>-7.6999999999999999E-2</v>
      </c>
      <c r="V320" s="239">
        <f>IF(L319&gt;6000,V319,IF(L319&gt;3000,V318,IF(L319&gt;499,V317,"Min $500")))</f>
        <v>-5.3999999999999999E-2</v>
      </c>
      <c r="W320" s="239">
        <f>IF(L319&gt;6000,W319,IF(L319&gt;3000,W318,IF(L319&gt;499,W317,"Min $500")))</f>
        <v>-3.5000000000000003E-2</v>
      </c>
      <c r="X320" s="239">
        <f>IF(L319&gt;6000,X319,IF(L319&gt;3000,X318,IF(L319&gt;499,X317,"Min $500")))</f>
        <v>-2.5000000000000001E-2</v>
      </c>
      <c r="Y320" s="240"/>
      <c r="Z320" s="297"/>
      <c r="AA320" s="947" t="s">
        <v>163</v>
      </c>
      <c r="AB320" s="948"/>
      <c r="AC320" s="948"/>
      <c r="AD320" s="948"/>
      <c r="AE320" s="948"/>
      <c r="AF320" s="948"/>
      <c r="AG320" s="949"/>
      <c r="AH320" s="947" t="s">
        <v>166</v>
      </c>
      <c r="AI320" s="948"/>
      <c r="AJ320" s="948"/>
      <c r="AK320" s="948"/>
      <c r="AL320" s="948"/>
      <c r="AM320" s="948"/>
      <c r="AN320" s="949"/>
    </row>
    <row r="321" spans="2:40" s="126" customFormat="1" ht="13.8" hidden="1" thickBot="1" x14ac:dyDescent="0.3">
      <c r="B321" s="170"/>
      <c r="C321" s="171" t="s">
        <v>29</v>
      </c>
      <c r="D321" s="172">
        <f>PMT(D304/12,D303,-D312,,0)+3.15</f>
        <v>560.28</v>
      </c>
      <c r="E321" s="173" t="s">
        <v>29</v>
      </c>
      <c r="F321" s="222">
        <f>PMT(D304/12,D303,-F312,0)-G313+3.15</f>
        <v>531.66999999999996</v>
      </c>
      <c r="G321" s="686"/>
      <c r="H321" s="127"/>
      <c r="I321" s="127"/>
      <c r="J321" s="127"/>
      <c r="Y321" s="240"/>
      <c r="Z321" s="297"/>
      <c r="AA321" s="531"/>
      <c r="AB321" s="532" t="s">
        <v>130</v>
      </c>
      <c r="AC321" s="532"/>
      <c r="AD321" s="532"/>
      <c r="AE321" s="538" t="s">
        <v>130</v>
      </c>
      <c r="AF321" s="534" t="s">
        <v>130</v>
      </c>
      <c r="AG321" s="537"/>
      <c r="AH321" s="531"/>
      <c r="AI321" s="532" t="s">
        <v>130</v>
      </c>
      <c r="AJ321" s="532"/>
      <c r="AK321" s="532"/>
      <c r="AL321" s="625" t="s">
        <v>130</v>
      </c>
      <c r="AM321" s="532" t="s">
        <v>130</v>
      </c>
      <c r="AN321" s="564"/>
    </row>
    <row r="322" spans="2:40" s="126" customFormat="1" ht="13.8" hidden="1" thickBot="1" x14ac:dyDescent="0.3">
      <c r="K322" s="991" t="s">
        <v>153</v>
      </c>
      <c r="L322" s="992"/>
      <c r="M322" s="992"/>
      <c r="N322" s="499">
        <f>IF(F324=4,U302, IF(F324=5,M313,IF(F324=6,W308, IF(F324=7,L318, IF(F324=8,W315,IF(F324=9,W322,IF(F324=10,X339)))))))</f>
        <v>-3.5000000000000003E-2</v>
      </c>
      <c r="O322" s="991" t="s">
        <v>152</v>
      </c>
      <c r="P322" s="992"/>
      <c r="Q322" s="992"/>
      <c r="R322" s="500" t="b">
        <f>IF(F324=3,X336)</f>
        <v>0</v>
      </c>
      <c r="S322" s="501">
        <f>IF(F324=3,R322,N322)</f>
        <v>-3.5000000000000003E-2</v>
      </c>
      <c r="U322" s="993" t="s">
        <v>2</v>
      </c>
      <c r="V322" s="994"/>
      <c r="W322" s="385" t="b">
        <f>IF(E324=4,V327,IF(E324=5,W327,IF(E324=6,X327,IF(E324=2,#REF!,IF(E324=3,U327)))))</f>
        <v>0</v>
      </c>
      <c r="X322" s="296" t="s">
        <v>106</v>
      </c>
      <c r="Y322" s="240"/>
      <c r="Z322" s="297"/>
      <c r="AA322" s="531"/>
      <c r="AB322" s="568" t="s">
        <v>197</v>
      </c>
      <c r="AC322" s="536"/>
      <c r="AD322" s="536"/>
      <c r="AE322" s="533">
        <f>$X$304</f>
        <v>0</v>
      </c>
      <c r="AF322" s="534" t="str">
        <f>IF(AE322&lt;0,"Retention", IF(AE322&gt;0,"Rebate", IF(AE322=0,"No Cost")))</f>
        <v>No Cost</v>
      </c>
      <c r="AG322" s="537"/>
      <c r="AH322" s="531"/>
      <c r="AI322" s="568" t="s">
        <v>141</v>
      </c>
      <c r="AJ322" s="536"/>
      <c r="AK322" s="536"/>
      <c r="AL322" s="624">
        <f>$Q$317</f>
        <v>0</v>
      </c>
      <c r="AM322" s="534" t="str">
        <f t="shared" ref="AM322:AM323" si="6">IF(AL322&lt;0,"Retention", IF(AL322&gt;0,"Rebate", IF(AL322=0,"No Cost")))</f>
        <v>No Cost</v>
      </c>
      <c r="AN322" s="564"/>
    </row>
    <row r="323" spans="2:40" s="126" customFormat="1" ht="13.8" hidden="1" thickBot="1" x14ac:dyDescent="0.3">
      <c r="D323" s="251" t="s">
        <v>94</v>
      </c>
      <c r="E323" s="252" t="s">
        <v>2</v>
      </c>
      <c r="F323" s="255" t="s">
        <v>147</v>
      </c>
      <c r="G323" s="262" t="s">
        <v>101</v>
      </c>
      <c r="K323" s="961" t="s">
        <v>159</v>
      </c>
      <c r="L323" s="962"/>
      <c r="M323" s="963"/>
      <c r="N323" s="457" t="s">
        <v>155</v>
      </c>
      <c r="O323" s="457" t="s">
        <v>156</v>
      </c>
      <c r="P323" s="995" t="s">
        <v>157</v>
      </c>
      <c r="Q323" s="996"/>
      <c r="R323" s="995" t="s">
        <v>211</v>
      </c>
      <c r="S323" s="996"/>
      <c r="T323" s="240"/>
      <c r="U323" s="242" t="s">
        <v>49</v>
      </c>
      <c r="V323" s="243" t="s">
        <v>50</v>
      </c>
      <c r="W323" s="243" t="s">
        <v>51</v>
      </c>
      <c r="X323" s="244" t="s">
        <v>104</v>
      </c>
      <c r="Y323" s="240"/>
      <c r="Z323" s="258"/>
      <c r="AA323" s="531"/>
      <c r="AB323" s="532" t="s">
        <v>130</v>
      </c>
      <c r="AC323" s="536"/>
      <c r="AD323" s="536"/>
      <c r="AE323" s="533" t="s">
        <v>130</v>
      </c>
      <c r="AF323" s="534" t="s">
        <v>130</v>
      </c>
      <c r="AG323" s="537"/>
      <c r="AH323" s="531"/>
      <c r="AI323" s="633" t="s">
        <v>206</v>
      </c>
      <c r="AJ323" s="536"/>
      <c r="AK323" s="536"/>
      <c r="AL323" s="624">
        <f>$Q$318</f>
        <v>5.0000000000000001E-3</v>
      </c>
      <c r="AM323" s="534" t="str">
        <f t="shared" si="6"/>
        <v>Rebate</v>
      </c>
      <c r="AN323" s="564"/>
    </row>
    <row r="324" spans="2:40" s="126" customFormat="1" ht="13.8" hidden="1" thickBot="1" x14ac:dyDescent="0.3">
      <c r="C324" s="250" t="str">
        <f>IF(D324=1,IF(F304&lt;D304,F320,IF(F304&gt;D304,"N/A",IF(F304=D304,"N/A"))))</f>
        <v>N/A</v>
      </c>
      <c r="D324" s="253">
        <v>1</v>
      </c>
      <c r="E324" s="254">
        <v>1</v>
      </c>
      <c r="F324" s="256">
        <v>5</v>
      </c>
      <c r="G324" s="498" t="str">
        <f>IF(F320&lt;D304,"Interest Rate",IF(F320&gt;D304,"Interest Free"))</f>
        <v>Interest Rate</v>
      </c>
      <c r="K324" s="964"/>
      <c r="L324" s="965"/>
      <c r="M324" s="966"/>
      <c r="N324" s="512">
        <f>G335*S322</f>
        <v>-105</v>
      </c>
      <c r="O324" s="513">
        <f>$S$326</f>
        <v>-65.400000000000006</v>
      </c>
      <c r="P324" s="997">
        <f>S326-G339</f>
        <v>39.6</v>
      </c>
      <c r="Q324" s="998"/>
      <c r="R324" s="997">
        <f>S326-G339+F309-10</f>
        <v>124.6</v>
      </c>
      <c r="S324" s="998"/>
      <c r="U324" s="361">
        <v>-0.105</v>
      </c>
      <c r="V324" s="363">
        <v>-8.5000000000000006E-2</v>
      </c>
      <c r="W324" s="363">
        <v>-7.4999999999999997E-2</v>
      </c>
      <c r="X324" s="616">
        <v>-4.4999999999999998E-2</v>
      </c>
      <c r="Y324" s="240"/>
      <c r="Z324" s="298"/>
      <c r="AA324" s="947" t="s">
        <v>169</v>
      </c>
      <c r="AB324" s="948"/>
      <c r="AC324" s="948"/>
      <c r="AD324" s="948"/>
      <c r="AE324" s="948"/>
      <c r="AF324" s="948"/>
      <c r="AG324" s="949"/>
      <c r="AH324" s="947" t="s">
        <v>187</v>
      </c>
      <c r="AI324" s="948"/>
      <c r="AJ324" s="948"/>
      <c r="AK324" s="948"/>
      <c r="AL324" s="948"/>
      <c r="AM324" s="948"/>
      <c r="AN324" s="949"/>
    </row>
    <row r="325" spans="2:40" s="126" customFormat="1" ht="13.5" hidden="1" customHeight="1" thickBot="1" x14ac:dyDescent="0.3">
      <c r="C325" s="248" t="b">
        <f>IF(D324=2,"N/A")</f>
        <v>0</v>
      </c>
      <c r="D325" s="433" t="s">
        <v>124</v>
      </c>
      <c r="E325" s="434"/>
      <c r="F325" s="435"/>
      <c r="G325" s="498">
        <f>IF(F320&lt;D304,F320, "For Promotion Term")</f>
        <v>0.1042</v>
      </c>
      <c r="K325" s="449" t="s">
        <v>54</v>
      </c>
      <c r="L325" s="451" t="s">
        <v>151</v>
      </c>
      <c r="M325" s="451" t="s">
        <v>2</v>
      </c>
      <c r="N325" s="452" t="s">
        <v>56</v>
      </c>
      <c r="O325" s="451" t="s">
        <v>57</v>
      </c>
      <c r="P325" s="525"/>
      <c r="Q325" s="453" t="s">
        <v>58</v>
      </c>
      <c r="R325" s="454" t="s">
        <v>59</v>
      </c>
      <c r="S325" s="455" t="s">
        <v>60</v>
      </c>
      <c r="U325" s="364">
        <v>-0.105</v>
      </c>
      <c r="V325" s="362">
        <v>-8.5000000000000006E-2</v>
      </c>
      <c r="W325" s="362">
        <v>-7.4999999999999997E-2</v>
      </c>
      <c r="X325" s="617">
        <v>-4.4999999999999998E-2</v>
      </c>
      <c r="Y325" s="240"/>
      <c r="Z325" s="298"/>
      <c r="AA325" s="567"/>
      <c r="AB325" s="568" t="s">
        <v>130</v>
      </c>
      <c r="AC325" s="568"/>
      <c r="AD325" s="568"/>
      <c r="AE325" s="562" t="s">
        <v>130</v>
      </c>
      <c r="AF325" s="534" t="s">
        <v>130</v>
      </c>
      <c r="AG325" s="569"/>
      <c r="AH325" s="567"/>
      <c r="AI325" s="568" t="s">
        <v>207</v>
      </c>
      <c r="AJ325" s="568"/>
      <c r="AK325" s="568"/>
      <c r="AL325" s="571">
        <f>$X$317</f>
        <v>-2.5000000000000001E-2</v>
      </c>
      <c r="AM325" s="534" t="str">
        <f t="shared" ref="AM325:AM327" si="7">IF(AL325&lt;0,"Retention", IF(AL325&gt;0,"Rebate", IF(AL325=0,"No Cost")))</f>
        <v>Retention</v>
      </c>
      <c r="AN325" s="572"/>
    </row>
    <row r="326" spans="2:40" s="126" customFormat="1" ht="13.5" hidden="1" customHeight="1" thickBot="1" x14ac:dyDescent="0.3">
      <c r="C326" s="249" t="str">
        <f>IF(D324=1,C324, IF(D324=2,C325))</f>
        <v>N/A</v>
      </c>
      <c r="D326" s="246" t="s">
        <v>125</v>
      </c>
      <c r="G326" s="263">
        <f>IF(F324&gt;2,G325," ")</f>
        <v>0.1042</v>
      </c>
      <c r="H326" s="174"/>
      <c r="K326" s="977">
        <f>$D$312</f>
        <v>3095</v>
      </c>
      <c r="L326" s="979">
        <f>$O$348</f>
        <v>3</v>
      </c>
      <c r="M326" s="979">
        <f>$O$345</f>
        <v>6</v>
      </c>
      <c r="N326" s="981">
        <f>IF(F324=1,D319,$F$320)</f>
        <v>0.1042</v>
      </c>
      <c r="O326" s="983">
        <v>0.17899999999999999</v>
      </c>
      <c r="P326" s="985"/>
      <c r="Q326" s="987">
        <f>PMT(N326/12, M326,-K326)</f>
        <v>531.62</v>
      </c>
      <c r="R326" s="987">
        <f>PV(O326/12, M326, -Q326)</f>
        <v>3029.6</v>
      </c>
      <c r="S326" s="989">
        <f>R326-K326</f>
        <v>-65.400000000000006</v>
      </c>
      <c r="U326" s="365">
        <v>-0.105</v>
      </c>
      <c r="V326" s="366">
        <v>-9.5000000000000001E-2</v>
      </c>
      <c r="W326" s="366">
        <v>-7.4999999999999997E-2</v>
      </c>
      <c r="X326" s="668" t="str">
        <f>IF(G335&lt;12001,"-4.50%","-5.00%")</f>
        <v>-4.50%</v>
      </c>
      <c r="Y326" s="240"/>
      <c r="Z326" s="298"/>
      <c r="AA326" s="567"/>
      <c r="AB326" s="568" t="s">
        <v>197</v>
      </c>
      <c r="AC326" s="570"/>
      <c r="AD326" s="570"/>
      <c r="AE326" s="538">
        <f t="shared" ref="AE326" si="8">V311</f>
        <v>-2.5000000000000001E-2</v>
      </c>
      <c r="AF326" s="534" t="str">
        <f t="shared" ref="AF326" si="9">IF(AE326&lt;0,"Retention", IF(AE326&gt;0,"Rebate", IF(AE326=0,"No Cost")))</f>
        <v>Retention</v>
      </c>
      <c r="AG326" s="569"/>
      <c r="AH326" s="567"/>
      <c r="AI326" s="568" t="s">
        <v>208</v>
      </c>
      <c r="AJ326" s="570"/>
      <c r="AK326" s="570"/>
      <c r="AL326" s="573">
        <f>$X$318</f>
        <v>-2.4E-2</v>
      </c>
      <c r="AM326" s="534" t="str">
        <f t="shared" si="7"/>
        <v>Retention</v>
      </c>
      <c r="AN326" s="572"/>
    </row>
    <row r="327" spans="2:40" s="126" customFormat="1" ht="13.8" hidden="1" thickBot="1" x14ac:dyDescent="0.3">
      <c r="H327" s="174"/>
      <c r="K327" s="978"/>
      <c r="L327" s="980"/>
      <c r="M327" s="980"/>
      <c r="N327" s="982"/>
      <c r="O327" s="984"/>
      <c r="P327" s="986"/>
      <c r="Q327" s="988"/>
      <c r="R327" s="988"/>
      <c r="S327" s="990"/>
      <c r="U327" s="239">
        <f>IF(L319&gt;6000,U326, IF(L319&gt;3000,U325, IF(L319&gt;499,U324, "Min $500")))</f>
        <v>-0.105</v>
      </c>
      <c r="V327" s="239">
        <f>IF(L319&gt;6000,V326, IF(L319&gt;3000,V325, IF(L319&gt;499,V324, "Min $500")))</f>
        <v>-8.5000000000000006E-2</v>
      </c>
      <c r="W327" s="239">
        <f>IF(L319&gt;6000,W326, IF(L319&gt;3000,W325, IF(L319&gt;499,W324, "Min $500")))</f>
        <v>-7.4999999999999997E-2</v>
      </c>
      <c r="X327" s="669">
        <f>IF(L319&gt;6000,X326, IF(L319&gt;4000,X325, IF(L319&gt;499,X324, "Min $500")))</f>
        <v>-4.4999999999999998E-2</v>
      </c>
      <c r="Y327" s="240"/>
      <c r="AA327" s="567"/>
      <c r="AB327" s="568" t="s">
        <v>130</v>
      </c>
      <c r="AC327" s="570"/>
      <c r="AD327" s="570"/>
      <c r="AE327" s="533" t="s">
        <v>130</v>
      </c>
      <c r="AF327" s="534" t="s">
        <v>130</v>
      </c>
      <c r="AG327" s="569"/>
      <c r="AH327" s="567"/>
      <c r="AI327" s="532" t="s">
        <v>206</v>
      </c>
      <c r="AJ327" s="570"/>
      <c r="AK327" s="570"/>
      <c r="AL327" s="573">
        <f>$X$319</f>
        <v>-0.02</v>
      </c>
      <c r="AM327" s="534" t="str">
        <f t="shared" si="7"/>
        <v>Retention</v>
      </c>
      <c r="AN327" s="572"/>
    </row>
    <row r="328" spans="2:40" s="126" customFormat="1" ht="16.5" hidden="1" customHeight="1" thickBot="1" x14ac:dyDescent="0.3">
      <c r="C328" s="958" t="s">
        <v>75</v>
      </c>
      <c r="D328" s="959"/>
      <c r="E328" s="959"/>
      <c r="F328" s="959"/>
      <c r="G328" s="960">
        <f>$D$313</f>
        <v>238.18</v>
      </c>
      <c r="Y328" s="240"/>
      <c r="AA328" s="869" t="str">
        <f>$C$357</f>
        <v xml:space="preserve"> Level 3      ( -2% to -3.5% Retentions )</v>
      </c>
      <c r="AB328" s="870"/>
      <c r="AC328" s="870"/>
      <c r="AD328" s="870"/>
      <c r="AE328" s="870"/>
      <c r="AF328" s="870"/>
      <c r="AG328" s="870"/>
      <c r="AH328" s="870"/>
      <c r="AI328" s="870"/>
      <c r="AJ328" s="870"/>
      <c r="AK328" s="870"/>
      <c r="AL328" s="870"/>
      <c r="AM328" s="870"/>
      <c r="AN328" s="871"/>
    </row>
    <row r="329" spans="2:40" s="126" customFormat="1" ht="15.75" hidden="1" customHeight="1" thickBot="1" x14ac:dyDescent="0.3">
      <c r="C329" s="933"/>
      <c r="D329" s="934"/>
      <c r="E329" s="934"/>
      <c r="F329" s="934"/>
      <c r="G329" s="937"/>
      <c r="I329" s="174"/>
      <c r="J329" s="174"/>
      <c r="K329" s="961" t="s">
        <v>158</v>
      </c>
      <c r="L329" s="962"/>
      <c r="M329" s="963"/>
      <c r="N329" s="457" t="s">
        <v>155</v>
      </c>
      <c r="O329" s="457" t="s">
        <v>156</v>
      </c>
      <c r="P329" s="967" t="s">
        <v>157</v>
      </c>
      <c r="Q329" s="968"/>
      <c r="R329" s="967" t="s">
        <v>211</v>
      </c>
      <c r="S329" s="968"/>
      <c r="U329" s="969" t="s">
        <v>214</v>
      </c>
      <c r="V329" s="970"/>
      <c r="W329" s="970"/>
      <c r="X329" s="971"/>
      <c r="Y329" s="240"/>
      <c r="AA329" s="972" t="s">
        <v>170</v>
      </c>
      <c r="AB329" s="973"/>
      <c r="AC329" s="973"/>
      <c r="AD329" s="973"/>
      <c r="AE329" s="973"/>
      <c r="AF329" s="973"/>
      <c r="AG329" s="974"/>
      <c r="AH329" s="972" t="s">
        <v>171</v>
      </c>
      <c r="AI329" s="973"/>
      <c r="AJ329" s="973"/>
      <c r="AK329" s="973"/>
      <c r="AL329" s="973"/>
      <c r="AM329" s="973"/>
      <c r="AN329" s="974"/>
    </row>
    <row r="330" spans="2:40" s="160" customFormat="1" ht="13.8" hidden="1" thickBot="1" x14ac:dyDescent="0.3">
      <c r="B330" s="126"/>
      <c r="C330" s="933" t="s">
        <v>64</v>
      </c>
      <c r="D330" s="934"/>
      <c r="E330" s="934"/>
      <c r="F330" s="934"/>
      <c r="G330" s="937">
        <f>IF(F324=1,0,IF(F324=2,0,IF(F324=3,0,IF(F324&gt;3,G328-G332))))</f>
        <v>66.52</v>
      </c>
      <c r="I330" s="126"/>
      <c r="J330" s="126"/>
      <c r="K330" s="964"/>
      <c r="L330" s="965"/>
      <c r="M330" s="966"/>
      <c r="N330" s="514">
        <f>G335*X336*(-1)</f>
        <v>-192</v>
      </c>
      <c r="O330" s="514">
        <f>K332*W336*(-1)</f>
        <v>-182.61</v>
      </c>
      <c r="P330" s="975">
        <f>O330-N330</f>
        <v>9.39</v>
      </c>
      <c r="Q330" s="976"/>
      <c r="R330" s="975">
        <f>P330*(1)+F309-10</f>
        <v>94.39</v>
      </c>
      <c r="S330" s="976"/>
      <c r="U330" s="673" t="s">
        <v>2</v>
      </c>
      <c r="V330" s="673" t="s">
        <v>212</v>
      </c>
      <c r="W330" s="673" t="s">
        <v>213</v>
      </c>
      <c r="X330" s="677" t="s">
        <v>146</v>
      </c>
      <c r="Y330" s="240"/>
      <c r="AA330" s="567"/>
      <c r="AB330" s="568" t="s">
        <v>130</v>
      </c>
      <c r="AC330" s="561"/>
      <c r="AD330" s="561"/>
      <c r="AE330" s="565" t="s">
        <v>130</v>
      </c>
      <c r="AF330" s="534" t="s">
        <v>130</v>
      </c>
      <c r="AG330" s="574"/>
      <c r="AH330" s="567"/>
      <c r="AI330" s="568" t="s">
        <v>207</v>
      </c>
      <c r="AJ330" s="568"/>
      <c r="AK330" s="568"/>
      <c r="AL330" s="571">
        <f>$P$316</f>
        <v>-3.5000000000000003E-2</v>
      </c>
      <c r="AM330" s="534" t="str">
        <f t="shared" ref="AM330" si="10">IF(AL330&lt;0,"Retention", IF(AL330&gt;0,"Rebate", IF(AL330=0,"No Cost")))</f>
        <v>Retention</v>
      </c>
      <c r="AN330" s="572"/>
    </row>
    <row r="331" spans="2:40" s="126" customFormat="1" hidden="1" x14ac:dyDescent="0.25">
      <c r="C331" s="933"/>
      <c r="D331" s="934"/>
      <c r="E331" s="934"/>
      <c r="F331" s="934"/>
      <c r="G331" s="937"/>
      <c r="K331" s="449" t="s">
        <v>54</v>
      </c>
      <c r="L331" s="450" t="s">
        <v>55</v>
      </c>
      <c r="M331" s="451" t="s">
        <v>2</v>
      </c>
      <c r="N331" s="452" t="s">
        <v>56</v>
      </c>
      <c r="O331" s="451" t="s">
        <v>57</v>
      </c>
      <c r="P331" s="456" t="s">
        <v>154</v>
      </c>
      <c r="Q331" s="453" t="s">
        <v>58</v>
      </c>
      <c r="R331" s="454" t="s">
        <v>59</v>
      </c>
      <c r="S331" s="455" t="s">
        <v>60</v>
      </c>
      <c r="U331" s="674" t="s">
        <v>80</v>
      </c>
      <c r="V331" s="680">
        <v>3.5000000000000003E-2</v>
      </c>
      <c r="W331" s="680">
        <f>V331+2.4%</f>
        <v>5.8999999999999997E-2</v>
      </c>
      <c r="X331" s="678">
        <f>W331+0.5%</f>
        <v>6.4000000000000001E-2</v>
      </c>
      <c r="Y331" s="240"/>
      <c r="AA331" s="567"/>
      <c r="AB331" s="568" t="s">
        <v>197</v>
      </c>
      <c r="AC331" s="568"/>
      <c r="AD331" s="568"/>
      <c r="AE331" s="575">
        <f>$N$311</f>
        <v>-3.5000000000000003E-2</v>
      </c>
      <c r="AF331" s="534" t="str">
        <f>IF(AE331&lt;0,"Retention", IF(AE331&gt;0,"Rebate", IF(AE331=0,"No Cost")))</f>
        <v>Retention</v>
      </c>
      <c r="AG331" s="569"/>
      <c r="AH331" s="567"/>
      <c r="AI331" s="568" t="s">
        <v>208</v>
      </c>
      <c r="AJ331" s="570"/>
      <c r="AK331" s="570"/>
      <c r="AL331" s="573">
        <f>$P$317</f>
        <v>-3.4000000000000002E-2</v>
      </c>
      <c r="AM331" s="534" t="str">
        <f>IF(AL331&lt;0,"Retention", IF(AL331&gt;0,"Rebate", IF(AL331=0,"No Cost")))</f>
        <v>Retention</v>
      </c>
      <c r="AN331" s="572"/>
    </row>
    <row r="332" spans="2:40" s="126" customFormat="1" hidden="1" x14ac:dyDescent="0.25">
      <c r="C332" s="933" t="s">
        <v>46</v>
      </c>
      <c r="D332" s="934"/>
      <c r="E332" s="934"/>
      <c r="F332" s="934"/>
      <c r="G332" s="937">
        <f>IF($F324=1,0,IF($F324=2,0,IF($F324=3,D313,IF($F324&gt;3,D313-F313))))</f>
        <v>171.66</v>
      </c>
      <c r="J332" s="176"/>
      <c r="K332" s="939">
        <f>$D$312</f>
        <v>3095</v>
      </c>
      <c r="L332" s="941">
        <f>$O$345</f>
        <v>6</v>
      </c>
      <c r="M332" s="943">
        <f>$O$345</f>
        <v>6</v>
      </c>
      <c r="N332" s="945">
        <v>0</v>
      </c>
      <c r="O332" s="925">
        <v>0.17899999999999999</v>
      </c>
      <c r="P332" s="927">
        <f>K332*W336</f>
        <v>182.61</v>
      </c>
      <c r="Q332" s="929">
        <f>PMT(N332/12, M332,-K332)</f>
        <v>515.83000000000004</v>
      </c>
      <c r="R332" s="929">
        <f>PV(O332/12, M332, -Q332)</f>
        <v>2939.61</v>
      </c>
      <c r="S332" s="931">
        <f>R332-K332</f>
        <v>-155.38999999999999</v>
      </c>
      <c r="U332" s="675" t="s">
        <v>81</v>
      </c>
      <c r="V332" s="681">
        <v>7.2999999999999995E-2</v>
      </c>
      <c r="W332" s="680">
        <f t="shared" ref="W332:W335" si="11">V332+2.4%</f>
        <v>9.7000000000000003E-2</v>
      </c>
      <c r="X332" s="678">
        <f t="shared" ref="X332:X335" si="12">W332+0.5%</f>
        <v>0.10199999999999999</v>
      </c>
      <c r="Y332" s="240"/>
      <c r="AA332" s="567"/>
      <c r="AB332" s="568" t="s">
        <v>130</v>
      </c>
      <c r="AC332" s="570"/>
      <c r="AD332" s="570"/>
      <c r="AE332" s="575" t="s">
        <v>130</v>
      </c>
      <c r="AF332" s="534" t="s">
        <v>130</v>
      </c>
      <c r="AG332" s="569"/>
      <c r="AH332" s="567"/>
      <c r="AI332" s="568" t="s">
        <v>206</v>
      </c>
      <c r="AJ332" s="570"/>
      <c r="AK332" s="570"/>
      <c r="AL332" s="573">
        <f>$P$318</f>
        <v>-3.3000000000000002E-2</v>
      </c>
      <c r="AM332" s="534" t="str">
        <f>IF(AL332&lt;0,"Retention", IF(AL332&gt;0,"Rebate", IF(AL332=0,"No Cost")))</f>
        <v>Retention</v>
      </c>
      <c r="AN332" s="572"/>
    </row>
    <row r="333" spans="2:40" s="126" customFormat="1" ht="13.8" hidden="1" thickBot="1" x14ac:dyDescent="0.3">
      <c r="C333" s="935"/>
      <c r="D333" s="936"/>
      <c r="E333" s="936"/>
      <c r="F333" s="936"/>
      <c r="G333" s="938"/>
      <c r="H333" s="180"/>
      <c r="J333" s="177"/>
      <c r="K333" s="940"/>
      <c r="L333" s="942"/>
      <c r="M333" s="944"/>
      <c r="N333" s="946"/>
      <c r="O333" s="926"/>
      <c r="P333" s="928"/>
      <c r="Q333" s="930"/>
      <c r="R333" s="930"/>
      <c r="S333" s="932"/>
      <c r="U333" s="675" t="s">
        <v>82</v>
      </c>
      <c r="V333" s="682">
        <v>9.0999999999999998E-2</v>
      </c>
      <c r="W333" s="680">
        <f t="shared" si="11"/>
        <v>0.115</v>
      </c>
      <c r="X333" s="678">
        <f t="shared" si="12"/>
        <v>0.12</v>
      </c>
      <c r="Y333" s="240"/>
      <c r="AA333" s="919" t="s">
        <v>168</v>
      </c>
      <c r="AB333" s="920"/>
      <c r="AC333" s="920"/>
      <c r="AD333" s="920"/>
      <c r="AE333" s="920"/>
      <c r="AF333" s="920"/>
      <c r="AG333" s="921"/>
      <c r="AH333" s="947" t="s">
        <v>173</v>
      </c>
      <c r="AI333" s="948"/>
      <c r="AJ333" s="948"/>
      <c r="AK333" s="948"/>
      <c r="AL333" s="948"/>
      <c r="AM333" s="948"/>
      <c r="AN333" s="949"/>
    </row>
    <row r="334" spans="2:40" s="126" customFormat="1" ht="13.8" hidden="1" thickBot="1" x14ac:dyDescent="0.3">
      <c r="C334" s="950"/>
      <c r="D334" s="950"/>
      <c r="E334" s="950"/>
      <c r="F334" s="950"/>
      <c r="G334" s="950"/>
      <c r="H334" s="181"/>
      <c r="I334" s="160"/>
      <c r="J334" s="178"/>
      <c r="U334" s="675" t="s">
        <v>83</v>
      </c>
      <c r="V334" s="683">
        <v>0.13</v>
      </c>
      <c r="W334" s="680">
        <f t="shared" si="11"/>
        <v>0.154</v>
      </c>
      <c r="X334" s="678">
        <f t="shared" si="12"/>
        <v>0.159</v>
      </c>
      <c r="Y334" s="240"/>
      <c r="AA334" s="567"/>
      <c r="AB334" s="532" t="s">
        <v>207</v>
      </c>
      <c r="AC334" s="568"/>
      <c r="AD334" s="568"/>
      <c r="AE334" s="590">
        <f>$O$310</f>
        <v>-3.3000000000000002E-2</v>
      </c>
      <c r="AF334" s="534" t="str">
        <f t="shared" ref="AF334:AF336" si="13">IF(AE334&lt;0,"Retention", IF(AE334&gt;0,"Rebate", IF(AE334=0,"No Cost")))</f>
        <v>Retention</v>
      </c>
      <c r="AG334" s="569"/>
      <c r="AH334" s="567"/>
      <c r="AI334" s="532" t="s">
        <v>130</v>
      </c>
      <c r="AJ334" s="532"/>
      <c r="AK334" s="532"/>
      <c r="AL334" s="578" t="s">
        <v>130</v>
      </c>
      <c r="AM334" s="579" t="s">
        <v>130</v>
      </c>
      <c r="AN334" s="572"/>
    </row>
    <row r="335" spans="2:40" s="126" customFormat="1" ht="13.8" hidden="1" thickBot="1" x14ac:dyDescent="0.3">
      <c r="C335" s="951" t="s">
        <v>119</v>
      </c>
      <c r="D335" s="952"/>
      <c r="E335" s="952"/>
      <c r="F335" s="953"/>
      <c r="G335" s="954">
        <f>D306-D311</f>
        <v>3000</v>
      </c>
      <c r="H335" s="182"/>
      <c r="J335" s="179"/>
      <c r="K335" s="955" t="s">
        <v>150</v>
      </c>
      <c r="L335" s="956"/>
      <c r="M335" s="956"/>
      <c r="N335" s="957"/>
      <c r="O335" s="349" t="s">
        <v>124</v>
      </c>
      <c r="P335" s="350">
        <f>$E$344</f>
        <v>0.26950000000000002</v>
      </c>
      <c r="Q335" s="351" t="s">
        <v>125</v>
      </c>
      <c r="R335" s="352">
        <f>$E$345</f>
        <v>0.26950000000000002</v>
      </c>
      <c r="S335" s="353">
        <v>2</v>
      </c>
      <c r="U335" s="676" t="s">
        <v>84</v>
      </c>
      <c r="V335" s="684">
        <v>0.18</v>
      </c>
      <c r="W335" s="680">
        <f t="shared" si="11"/>
        <v>0.20399999999999999</v>
      </c>
      <c r="X335" s="678">
        <f t="shared" si="12"/>
        <v>0.20899999999999999</v>
      </c>
      <c r="AA335" s="567"/>
      <c r="AB335" s="532" t="s">
        <v>208</v>
      </c>
      <c r="AC335" s="570"/>
      <c r="AD335" s="570"/>
      <c r="AE335" s="573">
        <f t="shared" ref="AE335" si="14">O311</f>
        <v>-3.2000000000000001E-2</v>
      </c>
      <c r="AF335" s="534" t="str">
        <f t="shared" si="13"/>
        <v>Retention</v>
      </c>
      <c r="AG335" s="569"/>
      <c r="AH335" s="567"/>
      <c r="AI335" s="568" t="s">
        <v>197</v>
      </c>
      <c r="AJ335" s="536"/>
      <c r="AK335" s="536"/>
      <c r="AL335" s="533">
        <f t="shared" ref="AL335" si="15">W318</f>
        <v>-3.5000000000000003E-2</v>
      </c>
      <c r="AM335" s="534" t="str">
        <f t="shared" ref="AM335" si="16">IF(AL335&lt;0,"Retention", IF(AL335&gt;0,"Rebate", IF(AL335=0,"No Cost")))</f>
        <v>Retention</v>
      </c>
      <c r="AN335" s="572"/>
    </row>
    <row r="336" spans="2:40" s="126" customFormat="1" ht="13.8" hidden="1" thickBot="1" x14ac:dyDescent="0.3">
      <c r="C336" s="914"/>
      <c r="D336" s="915"/>
      <c r="E336" s="915"/>
      <c r="F336" s="916"/>
      <c r="G336" s="899"/>
      <c r="H336" s="183"/>
      <c r="J336" s="179"/>
      <c r="K336" s="280" t="s">
        <v>2</v>
      </c>
      <c r="L336" s="293" t="s">
        <v>102</v>
      </c>
      <c r="M336" s="345" t="s">
        <v>9</v>
      </c>
      <c r="N336" s="345" t="s">
        <v>135</v>
      </c>
      <c r="O336" s="346" t="s">
        <v>8</v>
      </c>
      <c r="P336" s="294" t="s">
        <v>108</v>
      </c>
      <c r="Q336" s="294" t="s">
        <v>11</v>
      </c>
      <c r="R336" s="294" t="s">
        <v>13</v>
      </c>
      <c r="S336" s="295" t="s">
        <v>16</v>
      </c>
      <c r="U336" s="673" t="s">
        <v>145</v>
      </c>
      <c r="V336" s="685">
        <f>IF(D324=1,V331,IF(D324=2,V332,IF(D324=3,V333,IF(D324=4,V334,IF(D324=5,V335)))))</f>
        <v>3.5000000000000003E-2</v>
      </c>
      <c r="W336" s="685">
        <f>IF(E324=1,W331,IF(E324=2,W332,IF(E324=3,W333,IF(E324=4,W334,IF(E324=5,W335)))))</f>
        <v>5.8999999999999997E-2</v>
      </c>
      <c r="X336" s="679">
        <f>IF(E324=1,X331,IF(E324=2,X332,IF(E324=3,X333,IF(E324=4,X334,IF(E324=5,X335)))))</f>
        <v>6.4000000000000001E-2</v>
      </c>
      <c r="AA336" s="567"/>
      <c r="AB336" s="532" t="s">
        <v>206</v>
      </c>
      <c r="AC336" s="561"/>
      <c r="AD336" s="561"/>
      <c r="AE336" s="671">
        <f>$O$312</f>
        <v>-0.03</v>
      </c>
      <c r="AF336" s="534" t="str">
        <f t="shared" si="13"/>
        <v>Retention</v>
      </c>
      <c r="AG336" s="569"/>
      <c r="AH336" s="567"/>
      <c r="AI336" s="532" t="s">
        <v>130</v>
      </c>
      <c r="AJ336" s="536"/>
      <c r="AK336" s="536"/>
      <c r="AL336" s="580" t="s">
        <v>130</v>
      </c>
      <c r="AM336" s="579" t="s">
        <v>130</v>
      </c>
      <c r="AN336" s="572"/>
    </row>
    <row r="337" spans="3:40" s="126" customFormat="1" hidden="1" x14ac:dyDescent="0.25">
      <c r="C337" s="911" t="str">
        <f>IF(G339&lt;0,"Retention % of Purchase Price - Deposit",IF(G339&gt;0,"Rebate % of Purchase Price - Deposit",IF(G339=0,"No Rebate or Retention")))</f>
        <v>Retention % of Purchase Price - Deposit</v>
      </c>
      <c r="D337" s="912"/>
      <c r="E337" s="912"/>
      <c r="F337" s="913"/>
      <c r="G337" s="917">
        <f>G339/G335*1</f>
        <v>-3.5000000000000003E-2</v>
      </c>
      <c r="H337" s="183"/>
      <c r="K337" s="275">
        <v>6</v>
      </c>
      <c r="L337" s="619">
        <v>0.88560000000000005</v>
      </c>
      <c r="M337" s="620">
        <v>1.2010000000000001</v>
      </c>
      <c r="N337" s="620">
        <v>1.4339999999999999</v>
      </c>
      <c r="O337" s="502">
        <v>1.6659999999999999</v>
      </c>
      <c r="P337" s="437"/>
      <c r="Q337" s="437"/>
      <c r="R337" s="437"/>
      <c r="S337" s="438"/>
      <c r="AA337" s="919" t="s">
        <v>169</v>
      </c>
      <c r="AB337" s="920"/>
      <c r="AC337" s="920"/>
      <c r="AD337" s="920"/>
      <c r="AE337" s="920"/>
      <c r="AF337" s="920"/>
      <c r="AG337" s="921"/>
      <c r="AH337" s="919" t="s">
        <v>187</v>
      </c>
      <c r="AI337" s="920"/>
      <c r="AJ337" s="920"/>
      <c r="AK337" s="920"/>
      <c r="AL337" s="920"/>
      <c r="AM337" s="920"/>
      <c r="AN337" s="921"/>
    </row>
    <row r="338" spans="3:40" s="126" customFormat="1" ht="13.8" hidden="1" thickBot="1" x14ac:dyDescent="0.3">
      <c r="C338" s="914"/>
      <c r="D338" s="915"/>
      <c r="E338" s="915"/>
      <c r="F338" s="916"/>
      <c r="G338" s="918"/>
      <c r="H338" s="185"/>
      <c r="K338" s="273">
        <v>12</v>
      </c>
      <c r="L338" s="503">
        <v>0.2525</v>
      </c>
      <c r="M338" s="623" t="str">
        <f>IF(G335&lt;2001,"36.06%",IF(G335&lt;3001,"36.34%",IF(G335&lt;6001,"36.64%",IF(G335&lt;8001,"36.71%",IF(G335&lt;10001,"36.76%",IF(G335&lt;15001,"36.82%",IF(G335&lt;20001,"36.88%","36.92%")))))))</f>
        <v>36.34%</v>
      </c>
      <c r="N338" s="643" t="str">
        <f>IF(G335&lt;2001,"45.80%",IF(G335&lt;3001,"46.04%",IF(G335&lt;6001,"46.28%",IF(G335&lt;8001,"46.34%",IF(G335&lt;10001,"46.38%",IF(G335&lt;15001,"46.43%",IF(G335&lt;20001,"46.48%","46.53%")))))))</f>
        <v>46.04%</v>
      </c>
      <c r="O338" s="504">
        <v>0.61760000000000004</v>
      </c>
      <c r="P338" s="504">
        <v>0.77149999999999996</v>
      </c>
      <c r="Q338" s="504">
        <v>0.83340000000000003</v>
      </c>
      <c r="R338" s="439"/>
      <c r="S338" s="440"/>
      <c r="U338" s="922" t="s">
        <v>2</v>
      </c>
      <c r="V338" s="923"/>
      <c r="W338" s="924"/>
      <c r="X338" s="296" t="s">
        <v>105</v>
      </c>
      <c r="AA338" s="567"/>
      <c r="AB338" s="568" t="s">
        <v>130</v>
      </c>
      <c r="AC338" s="568"/>
      <c r="AD338" s="568"/>
      <c r="AE338" s="571" t="s">
        <v>130</v>
      </c>
      <c r="AF338" s="576" t="s">
        <v>130</v>
      </c>
      <c r="AG338" s="569"/>
      <c r="AH338" s="567"/>
      <c r="AI338" s="568" t="s">
        <v>207</v>
      </c>
      <c r="AJ338" s="568"/>
      <c r="AK338" s="568"/>
      <c r="AL338" s="621">
        <f>X317</f>
        <v>-2.5000000000000001E-2</v>
      </c>
      <c r="AM338" s="534" t="str">
        <f t="shared" ref="AM338:AM340" si="17">IF(AL338&lt;0,"Retention", IF(AL338&gt;0,"Rebate", IF(AL338=0,"No Cost")))</f>
        <v>Retention</v>
      </c>
      <c r="AN338" s="572"/>
    </row>
    <row r="339" spans="3:40" s="126" customFormat="1" ht="13.8" hidden="1" thickBot="1" x14ac:dyDescent="0.3">
      <c r="C339" s="892" t="str">
        <f>IF(G339&lt;0,"Retention amount to be deducted", IF(G339&gt;0,"Rebate amount to be added",IF(G339=0,"No Rebate or Retention")))</f>
        <v>Retention amount to be deducted</v>
      </c>
      <c r="D339" s="893"/>
      <c r="E339" s="893"/>
      <c r="F339" s="894"/>
      <c r="G339" s="898">
        <f>IF(F324=1,L306,IF(F324=2,"$0.00",IF(F324=3,N330,IF(F324=4,N324,IF(F324&gt;4,N324)))))</f>
        <v>-105</v>
      </c>
      <c r="H339" s="185"/>
      <c r="I339" s="182"/>
      <c r="J339" s="182"/>
      <c r="K339" s="273">
        <v>18</v>
      </c>
      <c r="L339" s="503">
        <v>0.1164</v>
      </c>
      <c r="M339" s="504">
        <v>0.17219999999999999</v>
      </c>
      <c r="N339" s="639" t="str">
        <f>IF(G335&lt;2001,"22.08%",IF(G335&lt;3001,"22.38%",IF(G335&lt;6001,"22.70%",IF(G335&lt;8001,"22.77%",IF(G335&lt;10001,"22.82%",IF(G335&lt;15001,"23.88%",IF(G335&lt;20001,"22.94%","23%")))))))</f>
        <v>22.38%</v>
      </c>
      <c r="O339" s="623" t="str">
        <f>IF(G335&lt;2001,"31.10%",IF(G335&lt;3001,"31.31%",IF(G335&lt;6001,"31.53%",IF(G335&lt;8001,"31.59%",IF(G335&lt;10001,"31.63%",IF(G335&lt;15001,"31.67%",IF(G335&lt;20001,"31.71%","31.75%")))))))</f>
        <v>31.31%</v>
      </c>
      <c r="P339" s="504">
        <v>0.4173</v>
      </c>
      <c r="Q339" s="504">
        <v>0.49159999999999998</v>
      </c>
      <c r="R339" s="504">
        <v>0.55549999999999999</v>
      </c>
      <c r="S339" s="440"/>
      <c r="U339" s="382" t="s">
        <v>50</v>
      </c>
      <c r="V339" s="383" t="s">
        <v>51</v>
      </c>
      <c r="W339" s="384" t="s">
        <v>104</v>
      </c>
      <c r="X339" s="245" t="b">
        <f>IF(E324=4,U343,IF(E324=5,V343,IF(E324=6,W343)))</f>
        <v>0</v>
      </c>
      <c r="AA339" s="567"/>
      <c r="AB339" s="568" t="s">
        <v>197</v>
      </c>
      <c r="AC339" s="570"/>
      <c r="AD339" s="570"/>
      <c r="AE339" s="577">
        <f>$V$311</f>
        <v>-2.5000000000000001E-2</v>
      </c>
      <c r="AF339" s="576" t="s">
        <v>121</v>
      </c>
      <c r="AG339" s="569"/>
      <c r="AH339" s="567"/>
      <c r="AI339" s="568" t="s">
        <v>208</v>
      </c>
      <c r="AJ339" s="570"/>
      <c r="AK339" s="570"/>
      <c r="AL339" s="622">
        <f>X318</f>
        <v>-2.4E-2</v>
      </c>
      <c r="AM339" s="534" t="str">
        <f t="shared" si="17"/>
        <v>Retention</v>
      </c>
      <c r="AN339" s="572"/>
    </row>
    <row r="340" spans="3:40" s="126" customFormat="1" hidden="1" x14ac:dyDescent="0.25">
      <c r="C340" s="895"/>
      <c r="D340" s="896"/>
      <c r="E340" s="896"/>
      <c r="F340" s="897"/>
      <c r="G340" s="899"/>
      <c r="H340" s="189"/>
      <c r="I340" s="277"/>
      <c r="J340" s="277"/>
      <c r="K340" s="273">
        <v>24</v>
      </c>
      <c r="L340" s="503">
        <v>6.5500000000000003E-2</v>
      </c>
      <c r="M340" s="504">
        <v>9.9599999999999994E-2</v>
      </c>
      <c r="N340" s="639" t="str">
        <f>IF(G335&lt;2001,"12.84%",IF(G335&lt;3001,"13.53%",IF(G335&lt;6001,"13.58%",IF(G335&lt;8001,"13.63%",IF(G335&lt;10001,"13.68%",IF(G335&lt;15001,"13.75%",IF(G335&lt;20001,"13.82%","13.89%")))))))</f>
        <v>13.53%</v>
      </c>
      <c r="O340" s="623" t="str">
        <f>IF(G335&lt;2001,"18.62%",IF(G335&lt;3001,"18.90%",IF(G335&lt;6001,"19.19%",IF(G335&lt;8001,"19.26%",IF(G335&lt;10001,"19.30%",IF(G335&lt;15001,"19.36%",IF(G335&lt;20001,"19.42%","19.48%")))))))</f>
        <v>18.90%</v>
      </c>
      <c r="P340" s="504">
        <v>0.25969999999999999</v>
      </c>
      <c r="Q340" s="504">
        <v>0.316</v>
      </c>
      <c r="R340" s="504">
        <v>0.38969999999999999</v>
      </c>
      <c r="S340" s="507">
        <v>0.41660000000000003</v>
      </c>
      <c r="U340" s="372">
        <v>-0.13500000000000001</v>
      </c>
      <c r="V340" s="473">
        <v>-0.125</v>
      </c>
      <c r="W340" s="373">
        <v>-9.5000000000000001E-2</v>
      </c>
      <c r="X340" s="292" t="s">
        <v>86</v>
      </c>
      <c r="AA340" s="567"/>
      <c r="AB340" s="568" t="s">
        <v>130</v>
      </c>
      <c r="AC340" s="570"/>
      <c r="AD340" s="570"/>
      <c r="AE340" s="577" t="s">
        <v>130</v>
      </c>
      <c r="AF340" s="576" t="s">
        <v>130</v>
      </c>
      <c r="AG340" s="569"/>
      <c r="AH340" s="567"/>
      <c r="AI340" s="532" t="s">
        <v>206</v>
      </c>
      <c r="AJ340" s="570"/>
      <c r="AK340" s="570"/>
      <c r="AL340" s="622">
        <f>X319</f>
        <v>-0.02</v>
      </c>
      <c r="AM340" s="534" t="str">
        <f t="shared" si="17"/>
        <v>Retention</v>
      </c>
      <c r="AN340" s="572"/>
    </row>
    <row r="341" spans="3:40" s="126" customFormat="1" ht="13.5" hidden="1" customHeight="1" thickBot="1" x14ac:dyDescent="0.3">
      <c r="C341" s="900" t="s">
        <v>71</v>
      </c>
      <c r="D341" s="901"/>
      <c r="E341" s="901"/>
      <c r="F341" s="902"/>
      <c r="G341" s="906">
        <f>G335+G339</f>
        <v>2895</v>
      </c>
      <c r="H341" s="192"/>
      <c r="I341" s="277"/>
      <c r="J341" s="277"/>
      <c r="K341" s="273">
        <v>36</v>
      </c>
      <c r="L341" s="503">
        <v>2.7E-2</v>
      </c>
      <c r="M341" s="504">
        <v>4.41E-2</v>
      </c>
      <c r="N341" s="505">
        <v>6.0299999999999999E-2</v>
      </c>
      <c r="O341" s="623" t="str">
        <f>IF(G335&lt;2001,"8.70%",IF(G335&lt;3001,"9.05%",IF(G335&lt;6001,"9.40%",IF(G335&lt;8001,"9.48%",IF(G335&lt;10001,"9.54%",IF(G335&lt;15001,"9.61%",IF(G335&lt;20001,"9.64%","9.66%")))))))</f>
        <v>9.05%</v>
      </c>
      <c r="P341" s="623" t="str">
        <f>IF(G335&lt;2001,"12.69%",IF(G335&lt;3001,"12.96%",IF(G335&lt;6001,"13.24%",IF(G335&lt;8001,"13.3%",IF(G335&lt;10001,"13.35%", "13.4%")))))</f>
        <v>12.96%</v>
      </c>
      <c r="Q341" s="504">
        <v>0.16220000000000001</v>
      </c>
      <c r="R341" s="504">
        <v>0.21360000000000001</v>
      </c>
      <c r="S341" s="507">
        <v>0.2487</v>
      </c>
      <c r="U341" s="364">
        <v>-0.13600000000000001</v>
      </c>
      <c r="V341" s="362">
        <v>-0.13</v>
      </c>
      <c r="W341" s="367">
        <v>-0.105</v>
      </c>
      <c r="X341" s="165" t="s">
        <v>87</v>
      </c>
      <c r="AA341" s="908" t="str">
        <f>$C$358</f>
        <v xml:space="preserve"> Level 4      ( -3.3% to -4.5% Retentions )</v>
      </c>
      <c r="AB341" s="909"/>
      <c r="AC341" s="909"/>
      <c r="AD341" s="909"/>
      <c r="AE341" s="909"/>
      <c r="AF341" s="909"/>
      <c r="AG341" s="909"/>
      <c r="AH341" s="909"/>
      <c r="AI341" s="909"/>
      <c r="AJ341" s="909"/>
      <c r="AK341" s="909"/>
      <c r="AL341" s="909"/>
      <c r="AM341" s="909"/>
      <c r="AN341" s="910"/>
    </row>
    <row r="342" spans="3:40" s="126" customFormat="1" ht="13.5" hidden="1" customHeight="1" thickBot="1" x14ac:dyDescent="0.3">
      <c r="C342" s="903"/>
      <c r="D342" s="904"/>
      <c r="E342" s="904"/>
      <c r="F342" s="905"/>
      <c r="G342" s="907"/>
      <c r="H342" s="185"/>
      <c r="I342" s="277"/>
      <c r="J342" s="277"/>
      <c r="K342" s="274">
        <v>48</v>
      </c>
      <c r="L342" s="441" t="s">
        <v>129</v>
      </c>
      <c r="M342" s="442" t="s">
        <v>129</v>
      </c>
      <c r="N342" s="443" t="s">
        <v>129</v>
      </c>
      <c r="O342" s="442">
        <v>5.2299999999999999E-2</v>
      </c>
      <c r="P342" s="615" t="str">
        <f>IF(G335&lt;2001,"7.46%",IF(G335&lt;3001,"7.76%",IF(G335&lt;6001,"8.10%",IF(G335&lt;8001,"8.17%",IF(G335&lt;10001,"8.21%",IF(G335&lt;15001,"8.28%",IF(G335&lt;20001,"8.31%","8.34%")))))))</f>
        <v>7.76%</v>
      </c>
      <c r="Q342" s="615" t="str">
        <f>IF(G335&lt;2001,"9.71%",IF(G335&lt;4001,"10.1%",IF(G335&lt;6001,"10.23%",IF(G335&lt;8001,"10.29%",IF(G335&lt;10001,"10.33%",IF(G335&lt;15001,"10.39%",IF(G335&lt;20001,"10.41%","10.43%")))))))</f>
        <v>10.1%</v>
      </c>
      <c r="R342" s="506">
        <v>0.13500000000000001</v>
      </c>
      <c r="S342" s="508">
        <v>0.16209999999999999</v>
      </c>
      <c r="U342" s="365">
        <v>-0.13900000000000001</v>
      </c>
      <c r="V342" s="366">
        <v>-0.13500000000000001</v>
      </c>
      <c r="W342" s="368">
        <v>-0.125</v>
      </c>
      <c r="X342" s="167" t="s">
        <v>111</v>
      </c>
      <c r="AA342" s="885" t="s">
        <v>180</v>
      </c>
      <c r="AB342" s="886"/>
      <c r="AC342" s="886"/>
      <c r="AD342" s="886"/>
      <c r="AE342" s="886"/>
      <c r="AF342" s="886"/>
      <c r="AG342" s="887"/>
      <c r="AH342" s="885" t="s">
        <v>171</v>
      </c>
      <c r="AI342" s="886"/>
      <c r="AJ342" s="886"/>
      <c r="AK342" s="886"/>
      <c r="AL342" s="886"/>
      <c r="AM342" s="886"/>
      <c r="AN342" s="887"/>
    </row>
    <row r="343" spans="3:40" s="126" customFormat="1" ht="13.5" hidden="1" customHeight="1" thickBot="1" x14ac:dyDescent="0.3">
      <c r="H343" s="192"/>
      <c r="I343" s="278"/>
      <c r="J343" s="279"/>
      <c r="N343" s="125"/>
      <c r="O343" s="125"/>
      <c r="U343" s="239">
        <f>IF($L319&gt;6000,U342, IF($L319&gt;3000,U341, IF($L319&gt;499,U340, "Min $500")))</f>
        <v>-0.13500000000000001</v>
      </c>
      <c r="V343" s="239">
        <f>IF($L319&gt;6000,V342, IF($L319&gt;3000,V341, IF($L319&gt;499,V340, "Min $500")))</f>
        <v>-0.125</v>
      </c>
      <c r="W343" s="239">
        <f>IF(L319&gt;6000,W342, IF(L319&gt;3000,W341, IF(L319&gt;499,W340, "Min $500")))</f>
        <v>-9.5000000000000001E-2</v>
      </c>
      <c r="X343" s="240"/>
      <c r="AA343" s="581"/>
      <c r="AB343" s="582" t="s">
        <v>130</v>
      </c>
      <c r="AC343" s="583"/>
      <c r="AD343" s="583"/>
      <c r="AE343" s="584" t="s">
        <v>130</v>
      </c>
      <c r="AF343" s="585" t="s">
        <v>130</v>
      </c>
      <c r="AG343" s="586"/>
      <c r="AH343" s="581"/>
      <c r="AI343" s="582" t="s">
        <v>207</v>
      </c>
      <c r="AJ343" s="582"/>
      <c r="AK343" s="582"/>
      <c r="AL343" s="590">
        <f>$P$316</f>
        <v>-3.5000000000000003E-2</v>
      </c>
      <c r="AM343" s="585" t="str">
        <f t="shared" ref="AM343" si="18">IF(AL343&lt;0,"Retention", IF(AL343&gt;0,"Rebate", IF(AL343=0,"No Cost")))</f>
        <v>Retention</v>
      </c>
      <c r="AN343" s="600"/>
    </row>
    <row r="344" spans="3:40" s="126" customFormat="1" ht="13.5" hidden="1" customHeight="1" thickBot="1" x14ac:dyDescent="0.3">
      <c r="C344" s="48" t="s">
        <v>91</v>
      </c>
      <c r="D344" s="270" t="s">
        <v>126</v>
      </c>
      <c r="E344" s="471">
        <v>0.26950000000000002</v>
      </c>
      <c r="F344" s="203" t="s">
        <v>66</v>
      </c>
      <c r="G344" s="472">
        <v>95</v>
      </c>
      <c r="I344" s="279"/>
      <c r="J344" s="125"/>
      <c r="K344" s="869" t="s">
        <v>1</v>
      </c>
      <c r="L344" s="871"/>
      <c r="M344" s="184" t="s">
        <v>3</v>
      </c>
      <c r="N344" s="289">
        <f>$D$19</f>
        <v>0</v>
      </c>
      <c r="O344" s="356" t="s">
        <v>2</v>
      </c>
      <c r="P344" s="888" t="s">
        <v>5</v>
      </c>
      <c r="Q344" s="889"/>
      <c r="S344" s="240"/>
      <c r="T344" s="640"/>
      <c r="AA344" s="581"/>
      <c r="AB344" s="582" t="s">
        <v>197</v>
      </c>
      <c r="AC344" s="582"/>
      <c r="AD344" s="582"/>
      <c r="AE344" s="587">
        <f>$T$311</f>
        <v>-4.4999999999999998E-2</v>
      </c>
      <c r="AF344" s="585" t="str">
        <f>IF(AE344&lt;0,"Retention", IF(AE344&gt;0,"Rebate", IF(AE344=0,"No Cost")))</f>
        <v>Retention</v>
      </c>
      <c r="AG344" s="588"/>
      <c r="AH344" s="581"/>
      <c r="AI344" s="582" t="s">
        <v>208</v>
      </c>
      <c r="AJ344" s="589"/>
      <c r="AK344" s="589"/>
      <c r="AL344" s="591">
        <f>$P$317</f>
        <v>-3.4000000000000002E-2</v>
      </c>
      <c r="AM344" s="585" t="str">
        <f>IF(AL344&lt;0,"Retention", IF(AL344&gt;0,"Rebate", IF(AL344=0,"No Cost")))</f>
        <v>Retention</v>
      </c>
      <c r="AN344" s="600"/>
    </row>
    <row r="345" spans="3:40" s="126" customFormat="1" ht="13.5" hidden="1" customHeight="1" thickBot="1" x14ac:dyDescent="0.3">
      <c r="C345" s="126" t="s">
        <v>92</v>
      </c>
      <c r="D345" s="270" t="s">
        <v>127</v>
      </c>
      <c r="E345" s="471">
        <v>0.26950000000000002</v>
      </c>
      <c r="F345" s="203" t="s">
        <v>66</v>
      </c>
      <c r="G345" s="472">
        <v>135</v>
      </c>
      <c r="K345" s="261">
        <v>6</v>
      </c>
      <c r="L345" s="446">
        <f>IF(E324=1,IF(F324=1,E346,IF(F324=2,E346,IF(F324=3,O337,IF(F324=4,L337,IF(F324=5,M337,IF(F324=6,N337)))))))</f>
        <v>1.2010000000000001</v>
      </c>
      <c r="M345" s="197" t="s">
        <v>67</v>
      </c>
      <c r="N345" s="290">
        <v>2</v>
      </c>
      <c r="O345" s="890">
        <f>IF(E324=1,6,IF(E324=2,12,IF(E324=3,18,IF(E324=4,24,IF(E324=5,36,IF(E324=6,48,IF(E324=7,60,0)))))))</f>
        <v>6</v>
      </c>
      <c r="P345" s="358" t="s">
        <v>8</v>
      </c>
      <c r="Q345" s="348"/>
      <c r="S345" s="240"/>
      <c r="T345" s="640"/>
      <c r="AA345" s="581"/>
      <c r="AB345" s="582" t="s">
        <v>130</v>
      </c>
      <c r="AC345" s="589"/>
      <c r="AD345" s="589"/>
      <c r="AE345" s="587" t="s">
        <v>130</v>
      </c>
      <c r="AF345" s="585" t="s">
        <v>130</v>
      </c>
      <c r="AG345" s="588"/>
      <c r="AH345" s="581"/>
      <c r="AI345" s="582" t="s">
        <v>206</v>
      </c>
      <c r="AJ345" s="589"/>
      <c r="AK345" s="589"/>
      <c r="AL345" s="591">
        <f>$P$318</f>
        <v>-3.3000000000000002E-2</v>
      </c>
      <c r="AM345" s="585" t="str">
        <f>IF(AL345&lt;0,"Retention", IF(AL345&gt;0,"Rebate", IF(AL345=0,"No Cost")))</f>
        <v>Retention</v>
      </c>
      <c r="AN345" s="600"/>
    </row>
    <row r="346" spans="3:40" s="126" customFormat="1" ht="12.75" hidden="1" customHeight="1" thickBot="1" x14ac:dyDescent="0.3">
      <c r="C346" s="269">
        <v>1</v>
      </c>
      <c r="D346" s="126" t="s">
        <v>65</v>
      </c>
      <c r="E346" s="301">
        <f>IF(C346=2,E345, IF(C346=1,E344))</f>
        <v>0.26950000000000002</v>
      </c>
      <c r="F346" s="126" t="s">
        <v>65</v>
      </c>
      <c r="G346" s="302">
        <f>IF(C346=2,G345, IF(C346=1,G344))</f>
        <v>95</v>
      </c>
      <c r="K346" s="261">
        <v>12</v>
      </c>
      <c r="L346" s="447" t="b">
        <f>IF(E324=2,IF(F324=1,E346,IF(F324=2,E346,IF(F324=3,Q338,IF(F324=4,L338,IF(F324=5,M338,IF(F324=6,N338,IF(F324=7,O338,IF(F324=8,P338)))))))))</f>
        <v>0</v>
      </c>
      <c r="M346" s="186" t="s">
        <v>68</v>
      </c>
      <c r="N346" s="291" t="e">
        <f>#REF!*1.15-#REF!</f>
        <v>#REF!</v>
      </c>
      <c r="O346" s="891"/>
      <c r="P346" s="357" t="s">
        <v>11</v>
      </c>
      <c r="Q346" s="347"/>
      <c r="S346" s="240"/>
      <c r="T346" s="641"/>
      <c r="U346" s="241"/>
      <c r="V346" s="241"/>
      <c r="AA346" s="879" t="s">
        <v>172</v>
      </c>
      <c r="AB346" s="880"/>
      <c r="AC346" s="880"/>
      <c r="AD346" s="880"/>
      <c r="AE346" s="880"/>
      <c r="AF346" s="880"/>
      <c r="AG346" s="881"/>
      <c r="AH346" s="882" t="s">
        <v>173</v>
      </c>
      <c r="AI346" s="883"/>
      <c r="AJ346" s="883"/>
      <c r="AK346" s="883"/>
      <c r="AL346" s="883"/>
      <c r="AM346" s="883"/>
      <c r="AN346" s="884"/>
    </row>
    <row r="347" spans="3:40" s="126" customFormat="1" ht="12.75" hidden="1" customHeight="1" thickBot="1" x14ac:dyDescent="0.3">
      <c r="C347" s="264"/>
      <c r="D347" s="265"/>
      <c r="E347" s="266"/>
      <c r="G347" s="267"/>
      <c r="H347" s="181"/>
      <c r="K347" s="261">
        <v>18</v>
      </c>
      <c r="L347" s="447" t="b">
        <f>IF(E324=3,IF(F324=1,E346,IF(F324=2,E346,IF(F324=3,R339,IF(F324=4,L339,IF(F324=5,M339,IF(F324=6,N339,IF(F324=7,O339,IF(F324=8,P339,IF(F324=9,Q339))))))))))</f>
        <v>0</v>
      </c>
      <c r="M347" s="186" t="s">
        <v>69</v>
      </c>
      <c r="N347" s="187" t="e">
        <f>#REF!/9</f>
        <v>#REF!</v>
      </c>
      <c r="O347" s="444" t="s">
        <v>151</v>
      </c>
      <c r="P347" s="357" t="s">
        <v>13</v>
      </c>
      <c r="Q347" s="347"/>
      <c r="S347" s="240"/>
      <c r="T347" s="642"/>
      <c r="U347" s="259"/>
      <c r="V347" s="515"/>
      <c r="AA347" s="581"/>
      <c r="AB347" s="532" t="s">
        <v>207</v>
      </c>
      <c r="AC347" s="582"/>
      <c r="AD347" s="582"/>
      <c r="AE347" s="621">
        <f>$U$310</f>
        <v>-4.4999999999999998E-2</v>
      </c>
      <c r="AF347" s="585" t="str">
        <f t="shared" ref="AF347:AF349" si="19">IF(AE347&lt;0,"Retention", IF(AE347&gt;0,"Rebate", IF(AE347=0,"No Cost")))</f>
        <v>Retention</v>
      </c>
      <c r="AG347" s="588"/>
      <c r="AH347" s="581"/>
      <c r="AI347" s="592" t="s">
        <v>130</v>
      </c>
      <c r="AJ347" s="592"/>
      <c r="AK347" s="592"/>
      <c r="AL347" s="601" t="s">
        <v>130</v>
      </c>
      <c r="AM347" s="602" t="s">
        <v>130</v>
      </c>
      <c r="AN347" s="600"/>
    </row>
    <row r="348" spans="3:40" s="126" customFormat="1" ht="12.75" hidden="1" customHeight="1" thickBot="1" x14ac:dyDescent="0.3">
      <c r="C348" s="477" t="s">
        <v>116</v>
      </c>
      <c r="D348" s="478" t="s">
        <v>113</v>
      </c>
      <c r="E348" s="479"/>
      <c r="F348" s="480"/>
      <c r="G348" s="267"/>
      <c r="H348" s="192"/>
      <c r="K348" s="261">
        <v>24</v>
      </c>
      <c r="L348" s="447" t="b">
        <f>IF(E324=4,IF(F324=1,E346,IF(F324=2,E346,IF(F324=3,S340,IF(F324=4,L340,IF(F324=5,M340,IF(F324=6,N340,IF(F324=7,O340,IF(F324=8,P340,IF(F324=9,Q340,IF(F324=10,R340)))))))))))</f>
        <v>0</v>
      </c>
      <c r="M348" s="186" t="s">
        <v>45</v>
      </c>
      <c r="N348" s="190" t="s">
        <v>70</v>
      </c>
      <c r="O348" s="445">
        <f>IF(F324=1,0,IF(F324=2,0,IF(F324=3,0,IF(F324=4,2,IF(F324=5,3,IF(F324=6,4,IF(F324=7,6,IF(F324=8,9,IF(F324=9,12,IF(F324=10,18,IF(F324=11,24,)))))))))))</f>
        <v>3</v>
      </c>
      <c r="P348" s="436" t="s">
        <v>16</v>
      </c>
      <c r="Q348" s="347"/>
      <c r="S348" s="240"/>
      <c r="T348" s="642"/>
      <c r="U348" s="259"/>
      <c r="V348" s="515"/>
      <c r="AA348" s="581"/>
      <c r="AB348" s="532" t="s">
        <v>137</v>
      </c>
      <c r="AC348" s="589"/>
      <c r="AD348" s="589"/>
      <c r="AE348" s="622">
        <f>$U$311</f>
        <v>-4.2500000000000003E-2</v>
      </c>
      <c r="AF348" s="585" t="str">
        <f t="shared" si="19"/>
        <v>Retention</v>
      </c>
      <c r="AG348" s="588"/>
      <c r="AH348" s="581"/>
      <c r="AI348" s="582" t="s">
        <v>197</v>
      </c>
      <c r="AJ348" s="603"/>
      <c r="AK348" s="603"/>
      <c r="AL348" s="604">
        <f>$W$318</f>
        <v>-3.5000000000000003E-2</v>
      </c>
      <c r="AM348" s="585" t="str">
        <f t="shared" ref="AM348" si="20">IF(AL348&lt;0,"Retention", IF(AL348&gt;0,"Rebate", IF(AL348=0,"No Cost")))</f>
        <v>Retention</v>
      </c>
      <c r="AN348" s="600"/>
    </row>
    <row r="349" spans="3:40" s="126" customFormat="1" ht="13.5" hidden="1" customHeight="1" thickBot="1" x14ac:dyDescent="0.3">
      <c r="C349" s="481" t="s">
        <v>117</v>
      </c>
      <c r="D349" s="272" t="s">
        <v>114</v>
      </c>
      <c r="E349" s="476"/>
      <c r="F349" s="482"/>
      <c r="G349" s="267"/>
      <c r="K349" s="261">
        <v>36</v>
      </c>
      <c r="L349" s="448" t="b">
        <f>IF(E324=5,IF(F324=1,E346,IF(F324=2,E346,IF(F324=3,"N/A",IF(F324=4,L341,IF(F324=5,M341,IF(F324=6,N341,IF(F324=7,O341,IF(F324=8,P341,IF(F324=9,Q341,IF(F324=10,R341,IF(F324=11,S341))))))))))))</f>
        <v>0</v>
      </c>
      <c r="M349" s="193" t="b">
        <f>IF(N345-2,#REF!)</f>
        <v>0</v>
      </c>
      <c r="N349" s="194" t="e">
        <f>SUM(N346,#REF!)</f>
        <v>#REF!</v>
      </c>
      <c r="O349" s="689"/>
      <c r="P349" s="357" t="s">
        <v>18</v>
      </c>
      <c r="Q349" s="347"/>
      <c r="S349" s="240"/>
      <c r="T349" s="642"/>
      <c r="U349" s="259"/>
      <c r="V349" s="515"/>
      <c r="AA349" s="581"/>
      <c r="AB349" s="532" t="s">
        <v>206</v>
      </c>
      <c r="AC349" s="583"/>
      <c r="AD349" s="583"/>
      <c r="AE349" s="654">
        <f>$U$312</f>
        <v>-0.04</v>
      </c>
      <c r="AF349" s="585" t="str">
        <f t="shared" si="19"/>
        <v>Retention</v>
      </c>
      <c r="AG349" s="588"/>
      <c r="AH349" s="581"/>
      <c r="AI349" s="592" t="s">
        <v>130</v>
      </c>
      <c r="AJ349" s="603"/>
      <c r="AK349" s="603"/>
      <c r="AL349" s="605" t="s">
        <v>130</v>
      </c>
      <c r="AM349" s="602" t="s">
        <v>130</v>
      </c>
      <c r="AN349" s="600"/>
    </row>
    <row r="350" spans="3:40" s="126" customFormat="1" ht="15" hidden="1" customHeight="1" x14ac:dyDescent="0.25">
      <c r="C350" s="481" t="s">
        <v>118</v>
      </c>
      <c r="D350" s="272" t="s">
        <v>115</v>
      </c>
      <c r="E350" s="476"/>
      <c r="F350" s="190"/>
      <c r="G350" s="268"/>
      <c r="H350" s="125"/>
      <c r="K350" s="261">
        <v>48</v>
      </c>
      <c r="L350" s="613" t="b">
        <f>IF(E324=6,IF(F324=1,E346,IF(F324=2,E346,IF(F324=3,"N/A",IF(F324=7,O342,IF(F324=8,P342,IF(F324=9,Q342,IF(F324=10,R342,IF(F324=11,S342)))))))))</f>
        <v>0</v>
      </c>
      <c r="P350" s="357" t="str">
        <f>IF(C346=1,"48 Months", IF(C346=2,"48 Months"))</f>
        <v>48 Months</v>
      </c>
      <c r="Q350" s="347"/>
      <c r="S350" s="240"/>
      <c r="T350" s="640"/>
      <c r="AA350" s="879" t="s">
        <v>174</v>
      </c>
      <c r="AB350" s="880"/>
      <c r="AC350" s="880"/>
      <c r="AD350" s="880"/>
      <c r="AE350" s="880"/>
      <c r="AF350" s="880"/>
      <c r="AG350" s="881"/>
      <c r="AH350" s="879" t="s">
        <v>196</v>
      </c>
      <c r="AI350" s="880"/>
      <c r="AJ350" s="880"/>
      <c r="AK350" s="880"/>
      <c r="AL350" s="880"/>
      <c r="AM350" s="880"/>
      <c r="AN350" s="881"/>
    </row>
    <row r="351" spans="3:40" s="126" customFormat="1" ht="12.75" hidden="1" customHeight="1" thickBot="1" x14ac:dyDescent="0.3">
      <c r="C351" s="483">
        <v>1</v>
      </c>
      <c r="D351" s="485" t="s">
        <v>160</v>
      </c>
      <c r="E351" s="484"/>
      <c r="F351" s="492">
        <f>IF(F324&gt;2,F321,D321)</f>
        <v>531.66999999999996</v>
      </c>
      <c r="H351" s="125"/>
      <c r="K351" s="276" t="s">
        <v>72</v>
      </c>
      <c r="L351" s="614">
        <f>IF(E324=1,L345, IF(E324=2,L346, IF(E324=3,L347, IF(E324=4,L348, IF(E324=5,L349, IF(E324=6,L350))))))</f>
        <v>1.2010000000000001</v>
      </c>
      <c r="S351" s="240"/>
      <c r="T351" s="640"/>
      <c r="AA351" s="581"/>
      <c r="AB351" s="592" t="s">
        <v>130</v>
      </c>
      <c r="AC351" s="582"/>
      <c r="AD351" s="582"/>
      <c r="AE351" s="593" t="s">
        <v>130</v>
      </c>
      <c r="AF351" s="594" t="s">
        <v>130</v>
      </c>
      <c r="AG351" s="588"/>
      <c r="AH351" s="606"/>
      <c r="AI351" s="582" t="s">
        <v>130</v>
      </c>
      <c r="AJ351" s="603"/>
      <c r="AK351" s="603"/>
      <c r="AL351" s="607" t="s">
        <v>130</v>
      </c>
      <c r="AM351" s="608" t="s">
        <v>130</v>
      </c>
      <c r="AN351" s="609"/>
    </row>
    <row r="352" spans="3:40" s="126" customFormat="1" ht="12.75" hidden="1" customHeight="1" x14ac:dyDescent="0.25">
      <c r="C352" s="175"/>
      <c r="D352" s="175"/>
      <c r="E352" s="175"/>
      <c r="F352" s="175"/>
      <c r="H352" s="125"/>
      <c r="AA352" s="581"/>
      <c r="AB352" s="582" t="s">
        <v>197</v>
      </c>
      <c r="AC352" s="589"/>
      <c r="AD352" s="589"/>
      <c r="AE352" s="595">
        <f t="shared" ref="AE352" si="21">O317</f>
        <v>-4.4999999999999998E-2</v>
      </c>
      <c r="AF352" s="585" t="str">
        <f t="shared" ref="AF352" si="22">IF(AE352&lt;0,"Retention", IF(AE352&gt;0,"Rebate", IF(AE352=0,"No Cost")))</f>
        <v>Retention</v>
      </c>
      <c r="AG352" s="588"/>
      <c r="AH352" s="606"/>
      <c r="AI352" s="582" t="s">
        <v>209</v>
      </c>
      <c r="AJ352" s="582"/>
      <c r="AK352" s="582"/>
      <c r="AL352" s="590">
        <f>$X$325</f>
        <v>-4.4999999999999998E-2</v>
      </c>
      <c r="AM352" s="594" t="s">
        <v>121</v>
      </c>
      <c r="AN352" s="600"/>
    </row>
    <row r="353" spans="2:45" s="126" customFormat="1" ht="12.75" hidden="1" customHeight="1" thickBot="1" x14ac:dyDescent="0.3">
      <c r="H353" s="125"/>
      <c r="Q353" s="354"/>
      <c r="AA353" s="596"/>
      <c r="AB353" s="592" t="s">
        <v>130</v>
      </c>
      <c r="AC353" s="597"/>
      <c r="AD353" s="597"/>
      <c r="AE353" s="598" t="s">
        <v>130</v>
      </c>
      <c r="AF353" s="594" t="s">
        <v>130</v>
      </c>
      <c r="AG353" s="599"/>
      <c r="AH353" s="610"/>
      <c r="AI353" s="592" t="s">
        <v>130</v>
      </c>
      <c r="AJ353" s="597"/>
      <c r="AK353" s="597"/>
      <c r="AL353" s="611" t="s">
        <v>130</v>
      </c>
      <c r="AM353" s="594" t="s">
        <v>130</v>
      </c>
      <c r="AN353" s="612"/>
    </row>
    <row r="354" spans="2:45" s="126" customFormat="1" ht="12.75" hidden="1" customHeight="1" thickBot="1" x14ac:dyDescent="0.3">
      <c r="C354" s="486" t="s">
        <v>132</v>
      </c>
      <c r="D354" s="344"/>
      <c r="E354" s="344"/>
      <c r="F354" s="487"/>
      <c r="H354" s="125"/>
      <c r="K354" s="869" t="str">
        <f>$C$360</f>
        <v xml:space="preserve"> Option A  =  -3.2 to -5.4% Retentions</v>
      </c>
      <c r="L354" s="870"/>
      <c r="M354" s="870"/>
      <c r="N354" s="870"/>
      <c r="O354" s="870"/>
      <c r="P354" s="870"/>
      <c r="Q354" s="870"/>
      <c r="R354" s="870"/>
      <c r="S354" s="870"/>
      <c r="T354" s="870"/>
      <c r="U354" s="870"/>
      <c r="V354" s="870"/>
      <c r="W354" s="870"/>
      <c r="X354" s="871"/>
      <c r="AA354" s="869" t="str">
        <f>$C$359</f>
        <v xml:space="preserve"> Loss Leader options  ( -3.3% to -5.5% Retentions )</v>
      </c>
      <c r="AB354" s="870"/>
      <c r="AC354" s="870"/>
      <c r="AD354" s="870"/>
      <c r="AE354" s="870"/>
      <c r="AF354" s="870"/>
      <c r="AG354" s="870"/>
      <c r="AH354" s="870"/>
      <c r="AI354" s="870"/>
      <c r="AJ354" s="870"/>
      <c r="AK354" s="870"/>
      <c r="AL354" s="870"/>
      <c r="AM354" s="870"/>
      <c r="AN354" s="871"/>
    </row>
    <row r="355" spans="2:45" s="126" customFormat="1" ht="13.5" hidden="1" customHeight="1" x14ac:dyDescent="0.25">
      <c r="C355" s="488" t="s">
        <v>194</v>
      </c>
      <c r="D355" s="125"/>
      <c r="E355" s="125"/>
      <c r="F355" s="519">
        <v>1</v>
      </c>
      <c r="H355" s="125"/>
      <c r="K355" s="873" t="s">
        <v>133</v>
      </c>
      <c r="L355" s="874"/>
      <c r="M355" s="874"/>
      <c r="N355" s="874"/>
      <c r="O355" s="874"/>
      <c r="P355" s="874"/>
      <c r="Q355" s="875"/>
      <c r="R355" s="876" t="s">
        <v>176</v>
      </c>
      <c r="S355" s="877"/>
      <c r="T355" s="877"/>
      <c r="U355" s="877"/>
      <c r="V355" s="877"/>
      <c r="W355" s="877"/>
      <c r="X355" s="878"/>
      <c r="AA355" s="879" t="s">
        <v>133</v>
      </c>
      <c r="AB355" s="880"/>
      <c r="AC355" s="880"/>
      <c r="AD355" s="880"/>
      <c r="AE355" s="880"/>
      <c r="AF355" s="880"/>
      <c r="AG355" s="881"/>
      <c r="AH355" s="885" t="s">
        <v>171</v>
      </c>
      <c r="AI355" s="886"/>
      <c r="AJ355" s="886"/>
      <c r="AK355" s="886"/>
      <c r="AL355" s="886"/>
      <c r="AM355" s="886"/>
      <c r="AN355" s="887"/>
      <c r="AS355" s="126" t="s">
        <v>142</v>
      </c>
    </row>
    <row r="356" spans="2:45" s="126" customFormat="1" hidden="1" x14ac:dyDescent="0.25">
      <c r="C356" s="489" t="s">
        <v>193</v>
      </c>
      <c r="D356" s="125"/>
      <c r="E356" s="125"/>
      <c r="F356" s="519">
        <v>2</v>
      </c>
      <c r="H356" s="125"/>
      <c r="K356" s="311"/>
      <c r="L356" s="312" t="s">
        <v>130</v>
      </c>
      <c r="M356" s="312"/>
      <c r="N356" s="312"/>
      <c r="O356" s="331" t="s">
        <v>130</v>
      </c>
      <c r="P356" s="313" t="s">
        <v>130</v>
      </c>
      <c r="Q356" s="314"/>
      <c r="R356" s="321"/>
      <c r="S356" s="322" t="s">
        <v>130</v>
      </c>
      <c r="T356" s="322"/>
      <c r="U356" s="322"/>
      <c r="V356" s="318" t="s">
        <v>130</v>
      </c>
      <c r="W356" s="313" t="s">
        <v>130</v>
      </c>
      <c r="X356" s="328"/>
      <c r="AA356" s="581"/>
      <c r="AB356" s="592" t="s">
        <v>130</v>
      </c>
      <c r="AC356" s="603"/>
      <c r="AD356" s="603"/>
      <c r="AE356" s="584" t="s">
        <v>130</v>
      </c>
      <c r="AF356" s="585" t="s">
        <v>130</v>
      </c>
      <c r="AG356" s="609"/>
      <c r="AH356" s="581"/>
      <c r="AI356" s="582" t="s">
        <v>207</v>
      </c>
      <c r="AJ356" s="582"/>
      <c r="AK356" s="582"/>
      <c r="AL356" s="590">
        <f>$P$316</f>
        <v>-3.5000000000000003E-2</v>
      </c>
      <c r="AM356" s="585" t="str">
        <f t="shared" ref="AM356" si="23">IF(AL356&lt;0,"Retention", IF(AL356&gt;0,"Rebate", IF(AL356=0,"No Cost")))</f>
        <v>Retention</v>
      </c>
      <c r="AN356" s="600"/>
    </row>
    <row r="357" spans="2:45" hidden="1" x14ac:dyDescent="0.25">
      <c r="C357" s="489" t="s">
        <v>192</v>
      </c>
      <c r="D357" s="125"/>
      <c r="E357" s="125"/>
      <c r="F357" s="519">
        <v>3</v>
      </c>
      <c r="H357" s="119"/>
      <c r="I357" s="119"/>
      <c r="J357" s="119"/>
      <c r="K357" s="311"/>
      <c r="L357" s="312" t="s">
        <v>100</v>
      </c>
      <c r="M357" s="315"/>
      <c r="N357" s="315"/>
      <c r="O357" s="332">
        <f>$X$331*(-1)</f>
        <v>-6.4000000000000001E-2</v>
      </c>
      <c r="P357" s="313" t="str">
        <f>IF(O357&lt;0,"Retention", IF(O357&gt;0,"Rebate", IF(O357=0,"No Cost")))</f>
        <v>Retention</v>
      </c>
      <c r="Q357" s="317"/>
      <c r="R357" s="321"/>
      <c r="S357" s="312" t="s">
        <v>182</v>
      </c>
      <c r="T357" s="315"/>
      <c r="U357" s="315"/>
      <c r="V357" s="510">
        <f>$V$318</f>
        <v>-5.3999999999999999E-2</v>
      </c>
      <c r="W357" s="313" t="str">
        <f>IF(V357&lt;0,"Retention", IF(V357&gt;0,"Rebate", IF(V357=0,"No Cost")))</f>
        <v>Retention</v>
      </c>
      <c r="X357" s="324"/>
      <c r="AA357" s="581"/>
      <c r="AB357" s="582" t="s">
        <v>197</v>
      </c>
      <c r="AC357" s="582"/>
      <c r="AD357" s="582"/>
      <c r="AE357" s="587">
        <f>-$X$331</f>
        <v>-6.4000000000000001E-2</v>
      </c>
      <c r="AF357" s="585" t="str">
        <f>IF(AE357&lt;0,"Retention", IF(AE357&gt;0,"Rebate", IF(AE357=0,"No Cost")))</f>
        <v>Retention</v>
      </c>
      <c r="AG357" s="588"/>
      <c r="AH357" s="581"/>
      <c r="AI357" s="582" t="s">
        <v>208</v>
      </c>
      <c r="AJ357" s="589"/>
      <c r="AK357" s="589"/>
      <c r="AL357" s="591">
        <f>$P$317</f>
        <v>-3.4000000000000002E-2</v>
      </c>
      <c r="AM357" s="585" t="str">
        <f>IF(AL357&lt;0,"Retention", IF(AL357&gt;0,"Rebate", IF(AL357=0,"No Cost")))</f>
        <v>Retention</v>
      </c>
      <c r="AN357" s="600"/>
    </row>
    <row r="358" spans="2:45" hidden="1" x14ac:dyDescent="0.25">
      <c r="B358" s="195"/>
      <c r="C358" s="489" t="s">
        <v>201</v>
      </c>
      <c r="D358" s="125"/>
      <c r="E358" s="125"/>
      <c r="F358" s="519">
        <v>4</v>
      </c>
      <c r="G358" s="195"/>
      <c r="H358" s="195"/>
      <c r="I358" s="195"/>
      <c r="J358" s="195"/>
      <c r="K358" s="311"/>
      <c r="L358" s="312" t="s">
        <v>130</v>
      </c>
      <c r="M358" s="315"/>
      <c r="N358" s="315"/>
      <c r="O358" s="332" t="s">
        <v>130</v>
      </c>
      <c r="P358" s="313" t="s">
        <v>130</v>
      </c>
      <c r="Q358" s="317"/>
      <c r="R358" s="311"/>
      <c r="S358" s="322" t="s">
        <v>130</v>
      </c>
      <c r="T358" s="315"/>
      <c r="U358" s="315"/>
      <c r="V358" s="318" t="s">
        <v>130</v>
      </c>
      <c r="W358" s="313" t="s">
        <v>130</v>
      </c>
      <c r="X358" s="320"/>
      <c r="AA358" s="655"/>
      <c r="AB358" s="592" t="s">
        <v>130</v>
      </c>
      <c r="AC358" s="603"/>
      <c r="AD358" s="603"/>
      <c r="AE358" s="587" t="s">
        <v>130</v>
      </c>
      <c r="AF358" s="585" t="s">
        <v>130</v>
      </c>
      <c r="AG358" s="656"/>
      <c r="AH358" s="581"/>
      <c r="AI358" s="582" t="s">
        <v>206</v>
      </c>
      <c r="AJ358" s="589"/>
      <c r="AK358" s="589"/>
      <c r="AL358" s="591">
        <f>$P$318</f>
        <v>-3.3000000000000002E-2</v>
      </c>
      <c r="AM358" s="585" t="str">
        <f>IF(AL358&lt;0,"Retention", IF(AL358&gt;0,"Rebate", IF(AL358=0,"No Cost")))</f>
        <v>Retention</v>
      </c>
      <c r="AN358" s="600"/>
    </row>
    <row r="359" spans="2:45" hidden="1" x14ac:dyDescent="0.25">
      <c r="B359" s="195"/>
      <c r="C359" s="490" t="s">
        <v>202</v>
      </c>
      <c r="D359" s="491"/>
      <c r="E359" s="491"/>
      <c r="F359" s="520">
        <v>5</v>
      </c>
      <c r="G359" s="195"/>
      <c r="H359" s="195"/>
      <c r="I359" s="195"/>
      <c r="J359" s="195"/>
      <c r="K359" s="866" t="s">
        <v>181</v>
      </c>
      <c r="L359" s="867"/>
      <c r="M359" s="867"/>
      <c r="N359" s="867"/>
      <c r="O359" s="867"/>
      <c r="P359" s="867"/>
      <c r="Q359" s="868"/>
      <c r="R359" s="866" t="s">
        <v>177</v>
      </c>
      <c r="S359" s="867"/>
      <c r="T359" s="867"/>
      <c r="U359" s="867"/>
      <c r="V359" s="867"/>
      <c r="W359" s="867"/>
      <c r="X359" s="868"/>
      <c r="AA359" s="879" t="s">
        <v>181</v>
      </c>
      <c r="AB359" s="880"/>
      <c r="AC359" s="880"/>
      <c r="AD359" s="880"/>
      <c r="AE359" s="880"/>
      <c r="AF359" s="880"/>
      <c r="AG359" s="881"/>
      <c r="AH359" s="882" t="s">
        <v>173</v>
      </c>
      <c r="AI359" s="883"/>
      <c r="AJ359" s="883"/>
      <c r="AK359" s="883"/>
      <c r="AL359" s="883"/>
      <c r="AM359" s="883"/>
      <c r="AN359" s="884"/>
    </row>
    <row r="360" spans="2:45" hidden="1" x14ac:dyDescent="0.25">
      <c r="B360" s="195"/>
      <c r="C360" s="490" t="s">
        <v>186</v>
      </c>
      <c r="D360" s="491"/>
      <c r="E360" s="491"/>
      <c r="F360" s="521">
        <v>6</v>
      </c>
      <c r="G360" s="195"/>
      <c r="H360" s="195"/>
      <c r="I360" s="195"/>
      <c r="J360" s="195"/>
      <c r="K360" s="321"/>
      <c r="L360" s="322" t="s">
        <v>141</v>
      </c>
      <c r="M360" s="322"/>
      <c r="N360" s="322"/>
      <c r="O360" s="329">
        <f>$N$317</f>
        <v>-5.5E-2</v>
      </c>
      <c r="P360" s="313" t="str">
        <f>$P$361</f>
        <v>Retention</v>
      </c>
      <c r="Q360" s="324"/>
      <c r="R360" s="321"/>
      <c r="S360" s="322" t="s">
        <v>130</v>
      </c>
      <c r="T360" s="322"/>
      <c r="U360" s="322"/>
      <c r="V360" s="387" t="s">
        <v>130</v>
      </c>
      <c r="W360" s="313" t="s">
        <v>130</v>
      </c>
      <c r="X360" s="328"/>
      <c r="AA360" s="581"/>
      <c r="AB360" s="582" t="s">
        <v>130</v>
      </c>
      <c r="AC360" s="582"/>
      <c r="AD360" s="582"/>
      <c r="AE360" s="590" t="s">
        <v>130</v>
      </c>
      <c r="AF360" s="585" t="s">
        <v>130</v>
      </c>
      <c r="AG360" s="588"/>
      <c r="AH360" s="581"/>
      <c r="AI360" s="582" t="s">
        <v>130</v>
      </c>
      <c r="AJ360" s="582"/>
      <c r="AK360" s="582"/>
      <c r="AL360" s="593" t="s">
        <v>130</v>
      </c>
      <c r="AM360" s="602" t="s">
        <v>130</v>
      </c>
      <c r="AN360" s="600"/>
    </row>
    <row r="361" spans="2:45" s="128" customFormat="1" hidden="1" x14ac:dyDescent="0.25">
      <c r="B361" s="156"/>
      <c r="C361" s="490" t="s">
        <v>185</v>
      </c>
      <c r="D361" s="491"/>
      <c r="E361" s="491"/>
      <c r="F361" s="522">
        <v>7</v>
      </c>
      <c r="H361" s="156"/>
      <c r="I361" s="156"/>
      <c r="J361" s="156"/>
      <c r="K361" s="321"/>
      <c r="L361" s="312" t="s">
        <v>99</v>
      </c>
      <c r="M361" s="325"/>
      <c r="N361" s="325"/>
      <c r="O361" s="330">
        <f>$N$318</f>
        <v>-5.5E-2</v>
      </c>
      <c r="P361" s="313" t="str">
        <f>IF(O361&lt;0,"Retention", IF(O361&gt;0,"Rebate", IF(O361=0,"No Cost")))</f>
        <v>Retention</v>
      </c>
      <c r="Q361" s="324"/>
      <c r="R361" s="311"/>
      <c r="S361" s="312" t="s">
        <v>182</v>
      </c>
      <c r="T361" s="315"/>
      <c r="U361" s="315"/>
      <c r="V361" s="388">
        <f>$W$325</f>
        <v>-7.4999999999999997E-2</v>
      </c>
      <c r="W361" s="313" t="str">
        <f>IF(V361&lt;0,"Retention", IF(V361&gt;0,"Rebate", IF(V361=0,"No Cost")))</f>
        <v>Retention</v>
      </c>
      <c r="X361" s="320"/>
      <c r="AA361" s="581"/>
      <c r="AB361" s="582" t="s">
        <v>197</v>
      </c>
      <c r="AC361" s="589"/>
      <c r="AD361" s="589"/>
      <c r="AE361" s="591">
        <f t="shared" ref="AE361" si="24">N317</f>
        <v>-5.5E-2</v>
      </c>
      <c r="AF361" s="585" t="str">
        <f t="shared" ref="AF361" si="25">IF(AE361&lt;0,"Retention", IF(AE361&gt;0,"Rebate", IF(AE361=0,"No Cost")))</f>
        <v>Retention</v>
      </c>
      <c r="AG361" s="588"/>
      <c r="AH361" s="581"/>
      <c r="AI361" s="582" t="s">
        <v>197</v>
      </c>
      <c r="AJ361" s="589"/>
      <c r="AK361" s="589"/>
      <c r="AL361" s="591">
        <f>$AL$348</f>
        <v>-3.5000000000000003E-2</v>
      </c>
      <c r="AM361" s="585" t="str">
        <f t="shared" ref="AM361" si="26">IF(AL361&lt;0,"Retention", IF(AL361&gt;0,"Rebate", IF(AL361=0,"No Cost")))</f>
        <v>Retention</v>
      </c>
      <c r="AN361" s="600"/>
    </row>
    <row r="362" spans="2:45" s="128" customFormat="1" hidden="1" x14ac:dyDescent="0.25">
      <c r="B362" s="156"/>
      <c r="C362" s="490" t="s">
        <v>184</v>
      </c>
      <c r="D362" s="491"/>
      <c r="E362" s="491"/>
      <c r="F362" s="522">
        <v>8</v>
      </c>
      <c r="H362" s="156"/>
      <c r="I362" s="156"/>
      <c r="J362" s="156"/>
      <c r="K362" s="321"/>
      <c r="L362" s="312" t="s">
        <v>130</v>
      </c>
      <c r="M362" s="319"/>
      <c r="N362" s="319"/>
      <c r="O362" s="377" t="s">
        <v>130</v>
      </c>
      <c r="P362" s="313" t="s">
        <v>130</v>
      </c>
      <c r="Q362" s="324"/>
      <c r="R362" s="311"/>
      <c r="S362" s="312" t="s">
        <v>130</v>
      </c>
      <c r="T362" s="315"/>
      <c r="U362" s="315"/>
      <c r="V362" s="388" t="s">
        <v>130</v>
      </c>
      <c r="W362" s="313" t="s">
        <v>130</v>
      </c>
      <c r="X362" s="320"/>
      <c r="AA362" s="581"/>
      <c r="AB362" s="657" t="s">
        <v>130</v>
      </c>
      <c r="AC362" s="603"/>
      <c r="AD362" s="603"/>
      <c r="AE362" s="658" t="s">
        <v>130</v>
      </c>
      <c r="AF362" s="585" t="s">
        <v>130</v>
      </c>
      <c r="AG362" s="588"/>
      <c r="AH362" s="581"/>
      <c r="AI362" s="582" t="s">
        <v>130</v>
      </c>
      <c r="AJ362" s="589"/>
      <c r="AK362" s="589"/>
      <c r="AL362" s="595" t="s">
        <v>130</v>
      </c>
      <c r="AM362" s="602" t="s">
        <v>130</v>
      </c>
      <c r="AN362" s="600"/>
    </row>
    <row r="363" spans="2:45" s="120" customFormat="1" ht="13.8" hidden="1" thickBot="1" x14ac:dyDescent="0.3">
      <c r="B363" s="195"/>
      <c r="C363" s="517" t="s">
        <v>183</v>
      </c>
      <c r="D363" s="518"/>
      <c r="E363" s="518"/>
      <c r="F363" s="523">
        <v>9</v>
      </c>
      <c r="H363" s="195"/>
      <c r="I363" s="195"/>
      <c r="J363" s="195"/>
      <c r="K363" s="866" t="s">
        <v>174</v>
      </c>
      <c r="L363" s="867"/>
      <c r="M363" s="867"/>
      <c r="N363" s="867"/>
      <c r="O363" s="867"/>
      <c r="P363" s="867"/>
      <c r="Q363" s="868"/>
      <c r="R363" s="866" t="s">
        <v>188</v>
      </c>
      <c r="S363" s="867"/>
      <c r="T363" s="867"/>
      <c r="U363" s="867"/>
      <c r="V363" s="867"/>
      <c r="W363" s="867"/>
      <c r="X363" s="868"/>
      <c r="AA363" s="879" t="s">
        <v>174</v>
      </c>
      <c r="AB363" s="880"/>
      <c r="AC363" s="880"/>
      <c r="AD363" s="880"/>
      <c r="AE363" s="880"/>
      <c r="AF363" s="880"/>
      <c r="AG363" s="881"/>
      <c r="AH363" s="879" t="s">
        <v>196</v>
      </c>
      <c r="AI363" s="880"/>
      <c r="AJ363" s="880"/>
      <c r="AK363" s="880"/>
      <c r="AL363" s="880"/>
      <c r="AM363" s="880"/>
      <c r="AN363" s="881"/>
    </row>
    <row r="364" spans="2:45" s="120" customFormat="1" ht="13.8" hidden="1" thickBot="1" x14ac:dyDescent="0.3">
      <c r="B364" s="195"/>
      <c r="C364" s="300">
        <v>2</v>
      </c>
      <c r="D364" s="310" t="s">
        <v>131</v>
      </c>
      <c r="E364" s="308"/>
      <c r="F364" s="309"/>
      <c r="H364" s="195"/>
      <c r="I364" s="195"/>
      <c r="J364" s="195"/>
      <c r="K364" s="321"/>
      <c r="L364" s="322" t="s">
        <v>141</v>
      </c>
      <c r="M364" s="322"/>
      <c r="N364" s="322"/>
      <c r="O364" s="323">
        <f>$O$317</f>
        <v>-4.4999999999999998E-2</v>
      </c>
      <c r="P364" s="313" t="str">
        <f>IF(O364&lt;0,"Retention", IF(O364&gt;0,"Rebate", IF(O364=0,"No Cost")))</f>
        <v>Retention</v>
      </c>
      <c r="Q364" s="324"/>
      <c r="R364" s="321"/>
      <c r="S364" s="322" t="s">
        <v>89</v>
      </c>
      <c r="T364" s="322"/>
      <c r="U364" s="322"/>
      <c r="V364" s="323">
        <f t="shared" ref="V364:V366" si="27">X324</f>
        <v>-4.4999999999999998E-2</v>
      </c>
      <c r="W364" s="313" t="str">
        <f t="shared" ref="W364:W365" si="28">IF(V364&lt;0,"Retention", IF(V364&gt;0,"Rebate", IF(V364=0,"No Cost")))</f>
        <v>Retention</v>
      </c>
      <c r="X364" s="328"/>
      <c r="AA364" s="581"/>
      <c r="AB364" s="592" t="s">
        <v>130</v>
      </c>
      <c r="AC364" s="589"/>
      <c r="AD364" s="589"/>
      <c r="AE364" s="622" t="s">
        <v>130</v>
      </c>
      <c r="AF364" s="585" t="s">
        <v>130</v>
      </c>
      <c r="AG364" s="588"/>
      <c r="AH364" s="606"/>
      <c r="AI364" s="582" t="s">
        <v>130</v>
      </c>
      <c r="AJ364" s="603"/>
      <c r="AK364" s="603"/>
      <c r="AL364" s="607" t="s">
        <v>130</v>
      </c>
      <c r="AM364" s="608" t="s">
        <v>130</v>
      </c>
      <c r="AN364" s="609"/>
    </row>
    <row r="365" spans="2:45" s="120" customFormat="1" hidden="1" x14ac:dyDescent="0.25">
      <c r="B365" s="195"/>
      <c r="H365" s="195"/>
      <c r="I365" s="195"/>
      <c r="J365" s="195"/>
      <c r="K365" s="321"/>
      <c r="L365" s="312" t="s">
        <v>138</v>
      </c>
      <c r="M365" s="315"/>
      <c r="N365" s="315"/>
      <c r="O365" s="510">
        <f>$O$318</f>
        <v>-4.4999999999999998E-2</v>
      </c>
      <c r="P365" s="313" t="str">
        <f>IF(O365&lt;0,"Retention", IF(O365&gt;0,"Rebate", IF(O365=0,"No Cost")))</f>
        <v>Retention</v>
      </c>
      <c r="Q365" s="324"/>
      <c r="R365" s="321"/>
      <c r="S365" s="322" t="s">
        <v>137</v>
      </c>
      <c r="T365" s="325"/>
      <c r="U365" s="325"/>
      <c r="V365" s="389">
        <f t="shared" si="27"/>
        <v>-4.4999999999999998E-2</v>
      </c>
      <c r="W365" s="313" t="str">
        <f t="shared" si="28"/>
        <v>Retention</v>
      </c>
      <c r="X365" s="328"/>
      <c r="AA365" s="581"/>
      <c r="AB365" s="582" t="s">
        <v>197</v>
      </c>
      <c r="AC365" s="603"/>
      <c r="AD365" s="603"/>
      <c r="AE365" s="658">
        <f t="shared" ref="AE365" si="29">O317</f>
        <v>-4.4999999999999998E-2</v>
      </c>
      <c r="AF365" s="585" t="str">
        <f t="shared" ref="AF365" si="30">IF(AE365&lt;0,"Retention", IF(AE365&gt;0,"Rebate", IF(AE365=0,"No Cost")))</f>
        <v>Retention</v>
      </c>
      <c r="AG365" s="588"/>
      <c r="AH365" s="606"/>
      <c r="AI365" s="582" t="s">
        <v>209</v>
      </c>
      <c r="AJ365" s="582"/>
      <c r="AK365" s="582"/>
      <c r="AL365" s="590">
        <f>$X$325</f>
        <v>-4.4999999999999998E-2</v>
      </c>
      <c r="AM365" s="594" t="s">
        <v>121</v>
      </c>
      <c r="AN365" s="600"/>
    </row>
    <row r="366" spans="2:45" s="120" customFormat="1" hidden="1" x14ac:dyDescent="0.25">
      <c r="B366" s="195"/>
      <c r="H366" s="195"/>
      <c r="I366" s="195"/>
      <c r="J366" s="195"/>
      <c r="K366" s="338"/>
      <c r="L366" s="339" t="s">
        <v>130</v>
      </c>
      <c r="M366" s="340"/>
      <c r="N366" s="340"/>
      <c r="O366" s="369" t="s">
        <v>130</v>
      </c>
      <c r="P366" s="341" t="s">
        <v>130</v>
      </c>
      <c r="Q366" s="342"/>
      <c r="R366" s="338"/>
      <c r="S366" s="339" t="s">
        <v>138</v>
      </c>
      <c r="T366" s="340"/>
      <c r="U366" s="340"/>
      <c r="V366" s="390" t="str">
        <f t="shared" si="27"/>
        <v>-4.50%</v>
      </c>
      <c r="W366" s="341" t="str">
        <f>IF(V366&lt;0,"Retention", IF(V366&gt;0,"Rebate", IF(V366=0,"No Cost")))</f>
        <v>Rebate</v>
      </c>
      <c r="X366" s="343"/>
      <c r="AA366" s="659"/>
      <c r="AB366" s="592" t="s">
        <v>130</v>
      </c>
      <c r="AC366" s="660"/>
      <c r="AD366" s="660"/>
      <c r="AE366" s="661" t="s">
        <v>130</v>
      </c>
      <c r="AF366" s="585" t="s">
        <v>130</v>
      </c>
      <c r="AG366" s="662"/>
      <c r="AH366" s="659"/>
      <c r="AI366" s="582" t="s">
        <v>210</v>
      </c>
      <c r="AJ366" s="660"/>
      <c r="AK366" s="660"/>
      <c r="AL366" s="670">
        <v>-0.05</v>
      </c>
      <c r="AM366" s="594" t="s">
        <v>121</v>
      </c>
      <c r="AN366" s="663"/>
    </row>
    <row r="367" spans="2:45" s="120" customFormat="1" ht="13.8" hidden="1" thickBot="1" x14ac:dyDescent="0.3">
      <c r="B367" s="195"/>
      <c r="C367" s="687" t="s">
        <v>136</v>
      </c>
      <c r="D367" s="516"/>
      <c r="E367" s="688"/>
      <c r="G367" s="195"/>
      <c r="H367" s="195"/>
      <c r="I367" s="195"/>
      <c r="J367" s="195"/>
      <c r="K367" s="869" t="str">
        <f>$C$361</f>
        <v xml:space="preserve"> Option B  =  -3.2 to -8.8% Retentions</v>
      </c>
      <c r="L367" s="870"/>
      <c r="M367" s="870"/>
      <c r="N367" s="870"/>
      <c r="O367" s="870"/>
      <c r="P367" s="870"/>
      <c r="Q367" s="870"/>
      <c r="R367" s="870"/>
      <c r="S367" s="870"/>
      <c r="T367" s="870"/>
      <c r="U367" s="870"/>
      <c r="V367" s="870"/>
      <c r="W367" s="870"/>
      <c r="X367" s="871"/>
      <c r="AA367" s="869" t="str">
        <f>$C$363</f>
        <v xml:space="preserve"> Option D  =  -5.4% to -15% Retentions</v>
      </c>
      <c r="AB367" s="870"/>
      <c r="AC367" s="870"/>
      <c r="AD367" s="870"/>
      <c r="AE367" s="870"/>
      <c r="AF367" s="870"/>
      <c r="AG367" s="870"/>
      <c r="AH367" s="870"/>
      <c r="AI367" s="870"/>
      <c r="AJ367" s="870"/>
      <c r="AK367" s="870"/>
      <c r="AL367" s="870"/>
      <c r="AM367" s="870"/>
      <c r="AN367" s="871"/>
    </row>
    <row r="368" spans="2:45" s="120" customFormat="1" hidden="1" x14ac:dyDescent="0.25">
      <c r="B368" s="195"/>
      <c r="C368" s="355" t="s">
        <v>103</v>
      </c>
      <c r="D368" s="191"/>
      <c r="E368" s="126"/>
      <c r="G368" s="195"/>
      <c r="H368" s="195"/>
      <c r="I368" s="195"/>
      <c r="J368" s="195"/>
      <c r="K368" s="873" t="s">
        <v>133</v>
      </c>
      <c r="L368" s="874"/>
      <c r="M368" s="874"/>
      <c r="N368" s="874"/>
      <c r="O368" s="874"/>
      <c r="P368" s="874"/>
      <c r="Q368" s="875"/>
      <c r="R368" s="876" t="s">
        <v>176</v>
      </c>
      <c r="S368" s="877"/>
      <c r="T368" s="877"/>
      <c r="U368" s="877"/>
      <c r="V368" s="877"/>
      <c r="W368" s="877"/>
      <c r="X368" s="878"/>
      <c r="AA368" s="873" t="s">
        <v>133</v>
      </c>
      <c r="AB368" s="874"/>
      <c r="AC368" s="874"/>
      <c r="AD368" s="874"/>
      <c r="AE368" s="874"/>
      <c r="AF368" s="874"/>
      <c r="AG368" s="875"/>
      <c r="AH368" s="876" t="s">
        <v>162</v>
      </c>
      <c r="AI368" s="877"/>
      <c r="AJ368" s="877"/>
      <c r="AK368" s="877"/>
      <c r="AL368" s="877"/>
      <c r="AM368" s="877"/>
      <c r="AN368" s="878"/>
    </row>
    <row r="369" spans="2:40" s="120" customFormat="1" hidden="1" x14ac:dyDescent="0.25">
      <c r="B369" s="195"/>
      <c r="C369" s="355" t="str">
        <f>IF(E324&lt;4,"N/A",IF(E324&gt;3,"Deferred Start &amp; 0% Int"))</f>
        <v>N/A</v>
      </c>
      <c r="D369" s="188"/>
      <c r="E369" s="126"/>
      <c r="F369" s="195"/>
      <c r="G369" s="195"/>
      <c r="H369" s="195"/>
      <c r="I369" s="195"/>
      <c r="J369" s="195"/>
      <c r="K369" s="311"/>
      <c r="L369" s="312" t="s">
        <v>130</v>
      </c>
      <c r="M369" s="312"/>
      <c r="N369" s="312"/>
      <c r="O369" s="331" t="s">
        <v>130</v>
      </c>
      <c r="P369" s="313" t="s">
        <v>130</v>
      </c>
      <c r="Q369" s="314"/>
      <c r="R369" s="311"/>
      <c r="S369" s="312" t="s">
        <v>141</v>
      </c>
      <c r="T369" s="312"/>
      <c r="U369" s="312"/>
      <c r="V369" s="331">
        <f>$V$318</f>
        <v>-5.3999999999999999E-2</v>
      </c>
      <c r="W369" s="313" t="str">
        <f t="shared" ref="W369" si="31">IF(V369&lt;0,"Retention", IF(V369&gt;0,"Rebate", IF(V369=0,"No Cost")))</f>
        <v>Retention</v>
      </c>
      <c r="X369" s="314"/>
      <c r="AA369" s="311"/>
      <c r="AB369" s="312" t="s">
        <v>130</v>
      </c>
      <c r="AC369" s="312"/>
      <c r="AD369" s="312"/>
      <c r="AE369" s="331" t="s">
        <v>130</v>
      </c>
      <c r="AF369" s="313" t="s">
        <v>130</v>
      </c>
      <c r="AG369" s="314"/>
      <c r="AH369" s="321"/>
      <c r="AI369" s="312" t="s">
        <v>130</v>
      </c>
      <c r="AJ369" s="322"/>
      <c r="AK369" s="322"/>
      <c r="AL369" s="318" t="s">
        <v>130</v>
      </c>
      <c r="AM369" s="313" t="s">
        <v>130</v>
      </c>
      <c r="AN369" s="328"/>
    </row>
    <row r="370" spans="2:40" s="120" customFormat="1" hidden="1" x14ac:dyDescent="0.25">
      <c r="B370" s="195"/>
      <c r="C370" s="48" t="str">
        <f>IF(E324&gt;4,"N/A", "Interest Free")</f>
        <v>Interest Free</v>
      </c>
      <c r="D370" s="228"/>
      <c r="E370" s="126"/>
      <c r="F370" s="195"/>
      <c r="G370" s="195"/>
      <c r="H370" s="195"/>
      <c r="I370" s="195"/>
      <c r="J370" s="195"/>
      <c r="K370" s="311"/>
      <c r="L370" s="312" t="s">
        <v>100</v>
      </c>
      <c r="M370" s="315"/>
      <c r="N370" s="315"/>
      <c r="O370" s="332">
        <f>$X$331*(-1)</f>
        <v>-6.4000000000000001E-2</v>
      </c>
      <c r="P370" s="313" t="str">
        <f>IF(O370&lt;0,"Retention", IF(O370&gt;0,"Rebate", IF(O370=0,"No Cost")))</f>
        <v>Retention</v>
      </c>
      <c r="Q370" s="317"/>
      <c r="R370" s="311"/>
      <c r="S370" s="312" t="s">
        <v>99</v>
      </c>
      <c r="T370" s="315"/>
      <c r="U370" s="315"/>
      <c r="V370" s="332">
        <f>$V$319</f>
        <v>-6.4000000000000001E-2</v>
      </c>
      <c r="W370" s="313" t="str">
        <f>IF(V370&lt;0,"Retention", IF(V370&gt;0,"Rebate", IF(V370=0,"No Cost")))</f>
        <v>Retention</v>
      </c>
      <c r="X370" s="320"/>
      <c r="AA370" s="311"/>
      <c r="AB370" s="312" t="s">
        <v>100</v>
      </c>
      <c r="AC370" s="315"/>
      <c r="AD370" s="315"/>
      <c r="AE370" s="332">
        <f>$X$331*(-1)</f>
        <v>-6.4000000000000001E-2</v>
      </c>
      <c r="AF370" s="313" t="str">
        <f>IF(AE370&lt;0,"Retention", IF(AE370&gt;0,"Rebate", IF(AE370=0,"No Cost")))</f>
        <v>Retention</v>
      </c>
      <c r="AG370" s="317"/>
      <c r="AH370" s="321"/>
      <c r="AI370" s="312" t="s">
        <v>100</v>
      </c>
      <c r="AJ370" s="315"/>
      <c r="AK370" s="315"/>
      <c r="AL370" s="510">
        <f>$X$334*(-1)</f>
        <v>-0.159</v>
      </c>
      <c r="AM370" s="313" t="str">
        <f>IF(AL370&lt;0,"Retention", IF(AL370&gt;0,"Rebate", IF(AL370=0,"No Cost")))</f>
        <v>Retention</v>
      </c>
      <c r="AN370" s="324"/>
    </row>
    <row r="371" spans="2:40" s="120" customFormat="1" hidden="1" x14ac:dyDescent="0.25">
      <c r="B371" s="195"/>
      <c r="C371" s="125" t="str">
        <f>IF(E324=1,"2 Mths 0% Interest",IF(E324=2,"2 Mths 0% Interest",IF(E324=3,"N/A",IF(E324=4,"N/A",IF(E324=5,"N/A",IF(E324=6,"N/A",))))))</f>
        <v>2 Mths 0% Interest</v>
      </c>
      <c r="D371" s="175"/>
      <c r="E371" s="126"/>
      <c r="F371" s="195"/>
      <c r="G371" s="195"/>
      <c r="H371" s="195"/>
      <c r="I371" s="195"/>
      <c r="J371" s="195"/>
      <c r="K371" s="311"/>
      <c r="L371" s="312" t="s">
        <v>130</v>
      </c>
      <c r="M371" s="315"/>
      <c r="N371" s="315"/>
      <c r="O371" s="332" t="s">
        <v>130</v>
      </c>
      <c r="P371" s="313" t="s">
        <v>130</v>
      </c>
      <c r="Q371" s="317"/>
      <c r="R371" s="311"/>
      <c r="S371" s="312" t="s">
        <v>130</v>
      </c>
      <c r="T371" s="315"/>
      <c r="U371" s="315"/>
      <c r="V371" s="332" t="s">
        <v>130</v>
      </c>
      <c r="W371" s="341" t="s">
        <v>130</v>
      </c>
      <c r="X371" s="343"/>
      <c r="AA371" s="311"/>
      <c r="AB371" s="312" t="s">
        <v>130</v>
      </c>
      <c r="AC371" s="315"/>
      <c r="AD371" s="315"/>
      <c r="AE371" s="332" t="s">
        <v>130</v>
      </c>
      <c r="AF371" s="313" t="s">
        <v>130</v>
      </c>
      <c r="AG371" s="317"/>
      <c r="AH371" s="311"/>
      <c r="AI371" s="312" t="s">
        <v>130</v>
      </c>
      <c r="AJ371" s="315"/>
      <c r="AK371" s="315"/>
      <c r="AL371" s="318" t="s">
        <v>130</v>
      </c>
      <c r="AM371" s="313" t="s">
        <v>130</v>
      </c>
      <c r="AN371" s="320"/>
    </row>
    <row r="372" spans="2:40" s="120" customFormat="1" hidden="1" x14ac:dyDescent="0.25">
      <c r="B372" s="195"/>
      <c r="C372" s="126" t="str">
        <f>IF(E324=1,"3 Mths 0% Interest",IF(E324=2,"3 Mths 0% Interest",IF(E324=3,"3 Mths 0% Interest",IF(E324=4,"N/A",IF(E324=5,"N/A",IF(E324=6,"N/A",))))))</f>
        <v>3 Mths 0% Interest</v>
      </c>
      <c r="D372" s="175"/>
      <c r="E372" s="126"/>
      <c r="F372" s="195"/>
      <c r="G372" s="195"/>
      <c r="H372" s="195"/>
      <c r="I372" s="195"/>
      <c r="J372" s="195"/>
      <c r="K372" s="866" t="s">
        <v>144</v>
      </c>
      <c r="L372" s="867"/>
      <c r="M372" s="867"/>
      <c r="N372" s="867"/>
      <c r="O372" s="867"/>
      <c r="P372" s="867"/>
      <c r="Q372" s="868"/>
      <c r="R372" s="866" t="s">
        <v>177</v>
      </c>
      <c r="S372" s="867"/>
      <c r="T372" s="867"/>
      <c r="U372" s="867"/>
      <c r="V372" s="867"/>
      <c r="W372" s="867"/>
      <c r="X372" s="868"/>
      <c r="AA372" s="866" t="s">
        <v>144</v>
      </c>
      <c r="AB372" s="867"/>
      <c r="AC372" s="867"/>
      <c r="AD372" s="867"/>
      <c r="AE372" s="867"/>
      <c r="AF372" s="867"/>
      <c r="AG372" s="868"/>
      <c r="AH372" s="866" t="s">
        <v>179</v>
      </c>
      <c r="AI372" s="867"/>
      <c r="AJ372" s="867"/>
      <c r="AK372" s="867"/>
      <c r="AL372" s="867"/>
      <c r="AM372" s="867"/>
      <c r="AN372" s="868"/>
    </row>
    <row r="373" spans="2:40" s="120" customFormat="1" hidden="1" x14ac:dyDescent="0.25">
      <c r="B373" s="195"/>
      <c r="C373" s="355" t="str">
        <f>IF(E324=1,"4 Mths 0% Interest",IF(E324=2,"4 Mths 0% Interest",IF(E324=3,"4 Mths 0% Interest",IF(E324=4,"4 Mths 0% Interest",IF(E324=5,"N/A",IF(E324=6,"N/A",))))))</f>
        <v>4 Mths 0% Interest</v>
      </c>
      <c r="D373" s="175"/>
      <c r="E373" s="126"/>
      <c r="F373" s="195"/>
      <c r="G373" s="195"/>
      <c r="H373" s="195"/>
      <c r="I373" s="195"/>
      <c r="J373" s="195"/>
      <c r="K373" s="378"/>
      <c r="L373" s="322" t="s">
        <v>130</v>
      </c>
      <c r="M373" s="322"/>
      <c r="N373" s="322"/>
      <c r="O373" s="329" t="s">
        <v>130</v>
      </c>
      <c r="P373" s="313" t="s">
        <v>130</v>
      </c>
      <c r="Q373" s="379"/>
      <c r="R373" s="321"/>
      <c r="S373" s="312" t="s">
        <v>182</v>
      </c>
      <c r="T373" s="322"/>
      <c r="U373" s="322"/>
      <c r="V373" s="323">
        <f>$W$325</f>
        <v>-7.4999999999999997E-2</v>
      </c>
      <c r="W373" s="313" t="str">
        <f>IF(V373&lt;0,"Retention", IF(V373&gt;0,"Rebate", IF(V373=0,"No Cost")))</f>
        <v>Retention</v>
      </c>
      <c r="X373" s="328"/>
      <c r="AA373" s="321"/>
      <c r="AB373" s="322" t="s">
        <v>130</v>
      </c>
      <c r="AC373" s="322"/>
      <c r="AD373" s="322"/>
      <c r="AE373" s="329" t="s">
        <v>130</v>
      </c>
      <c r="AF373" s="313" t="s">
        <v>130</v>
      </c>
      <c r="AG373" s="324"/>
      <c r="AH373" s="321"/>
      <c r="AI373" s="322" t="s">
        <v>89</v>
      </c>
      <c r="AJ373" s="322"/>
      <c r="AK373" s="322"/>
      <c r="AL373" s="387">
        <f>$V$340</f>
        <v>-0.125</v>
      </c>
      <c r="AM373" s="313" t="str">
        <f>IF(AL373&lt;0,"Retention", IF(AL373&gt;0,"Rebate", IF(AL373=0,"No Cost")))</f>
        <v>Retention</v>
      </c>
      <c r="AN373" s="328"/>
    </row>
    <row r="374" spans="2:40" s="120" customFormat="1" hidden="1" x14ac:dyDescent="0.25">
      <c r="B374" s="195"/>
      <c r="C374" s="354" t="str">
        <f>IF(E324=1,"N/A",IF(E324=2,"6 Mths 0% Interest",IF(E324=3,"6 Mths 0% Interest",IF(E324=4,"6 Mths 0% Interest",IF(E324=5,"6 Mths 0% Interest",IF(E324=6,"N/A",))))))</f>
        <v>N/A</v>
      </c>
      <c r="D374" s="126"/>
      <c r="E374" s="126"/>
      <c r="F374" s="195"/>
      <c r="G374" s="195"/>
      <c r="H374" s="195"/>
      <c r="I374" s="195"/>
      <c r="J374" s="195"/>
      <c r="K374" s="378"/>
      <c r="L374" s="312" t="s">
        <v>100</v>
      </c>
      <c r="M374" s="380"/>
      <c r="N374" s="380"/>
      <c r="O374" s="377">
        <f>$X$332*(-1)</f>
        <v>-0.10199999999999999</v>
      </c>
      <c r="P374" s="313" t="str">
        <f>IF(O374&lt;0,"Retention", IF(O374&gt;0,"Rebate", IF(O374=0,"No Cost")))</f>
        <v>Retention</v>
      </c>
      <c r="Q374" s="379"/>
      <c r="R374" s="311"/>
      <c r="S374" s="312" t="s">
        <v>99</v>
      </c>
      <c r="T374" s="315"/>
      <c r="U374" s="315"/>
      <c r="V374" s="316">
        <v>-6.4000000000000001E-2</v>
      </c>
      <c r="W374" s="313" t="str">
        <f>IF(V374&lt;0,"Retention", IF(V374&gt;0,"Rebate", IF(V374=0,"No Cost")))</f>
        <v>Retention</v>
      </c>
      <c r="X374" s="320"/>
      <c r="AA374" s="321"/>
      <c r="AB374" s="312" t="s">
        <v>100</v>
      </c>
      <c r="AC374" s="325"/>
      <c r="AD374" s="325"/>
      <c r="AE374" s="330">
        <f>$X$332*(-1)</f>
        <v>-0.10199999999999999</v>
      </c>
      <c r="AF374" s="313" t="str">
        <f>IF(AE374&lt;0,"Retention", IF(AE374&gt;0,"Rebate", IF(AE374=0,"No Cost")))</f>
        <v>Retention</v>
      </c>
      <c r="AG374" s="324"/>
      <c r="AH374" s="311"/>
      <c r="AI374" s="312" t="s">
        <v>90</v>
      </c>
      <c r="AJ374" s="315"/>
      <c r="AK374" s="315"/>
      <c r="AL374" s="388">
        <f>$V$341</f>
        <v>-0.13</v>
      </c>
      <c r="AM374" s="313" t="str">
        <f>IF(AL374&lt;0,"Retention", IF(AL374&gt;0,"Rebate", IF(AL374=0,"No Cost")))</f>
        <v>Retention</v>
      </c>
      <c r="AN374" s="320"/>
    </row>
    <row r="375" spans="2:40" s="120" customFormat="1" hidden="1" x14ac:dyDescent="0.25">
      <c r="B375" s="195"/>
      <c r="C375" s="125" t="str">
        <f>IF(E324=1,"N/A",IF(E324=2,"N/A",IF(E324=3,"N/A",IF(E324=4,"N/A",IF(E324=5,"9 Mths 0% Interest",IF(E324=6,"9 Mths 0% Interest",))))))</f>
        <v>N/A</v>
      </c>
      <c r="D375" s="126"/>
      <c r="E375" s="126"/>
      <c r="F375" s="195"/>
      <c r="G375" s="195"/>
      <c r="H375" s="195"/>
      <c r="I375" s="195"/>
      <c r="J375" s="195"/>
      <c r="K375" s="378"/>
      <c r="L375" s="312" t="s">
        <v>130</v>
      </c>
      <c r="M375" s="380"/>
      <c r="N375" s="380"/>
      <c r="O375" s="377" t="s">
        <v>130</v>
      </c>
      <c r="P375" s="313" t="s">
        <v>130</v>
      </c>
      <c r="Q375" s="379"/>
      <c r="R375" s="311"/>
      <c r="S375" s="312" t="s">
        <v>130</v>
      </c>
      <c r="T375" s="315"/>
      <c r="U375" s="315"/>
      <c r="V375" s="327" t="s">
        <v>130</v>
      </c>
      <c r="W375" s="313" t="s">
        <v>130</v>
      </c>
      <c r="X375" s="320"/>
      <c r="AA375" s="321"/>
      <c r="AB375" s="312" t="s">
        <v>130</v>
      </c>
      <c r="AC375" s="319"/>
      <c r="AD375" s="319"/>
      <c r="AE375" s="377" t="s">
        <v>130</v>
      </c>
      <c r="AF375" s="313" t="s">
        <v>130</v>
      </c>
      <c r="AG375" s="324"/>
      <c r="AH375" s="311"/>
      <c r="AI375" s="312" t="s">
        <v>99</v>
      </c>
      <c r="AJ375" s="315"/>
      <c r="AK375" s="315"/>
      <c r="AL375" s="388">
        <f>$V$342</f>
        <v>-0.13500000000000001</v>
      </c>
      <c r="AM375" s="313" t="str">
        <f>IF(AL375&lt;0,"Retention", IF(AL375&gt;0,"Rebate", IF(AL375=0,"No Cost")))</f>
        <v>Retention</v>
      </c>
      <c r="AN375" s="320"/>
    </row>
    <row r="376" spans="2:40" s="120" customFormat="1" hidden="1" x14ac:dyDescent="0.25">
      <c r="B376" s="195"/>
      <c r="C376" s="386" t="str">
        <f>IF(E324=1,"N/A",IF(E324=2,"N/A",IF(E324=3,"N/A",IF(E324=4,"N/A",IF(E324=5,"12 Mths 0% Interest",IF(E324=6,"12 Mths 0% Interest",))))))</f>
        <v>N/A</v>
      </c>
      <c r="D376" s="126"/>
      <c r="E376" s="126"/>
      <c r="F376" s="195"/>
      <c r="G376" s="195"/>
      <c r="H376" s="195"/>
      <c r="I376" s="195"/>
      <c r="J376" s="195"/>
      <c r="K376" s="866" t="s">
        <v>175</v>
      </c>
      <c r="L376" s="867"/>
      <c r="M376" s="867"/>
      <c r="N376" s="867"/>
      <c r="O376" s="867"/>
      <c r="P376" s="867"/>
      <c r="Q376" s="868"/>
      <c r="R376" s="866" t="s">
        <v>188</v>
      </c>
      <c r="S376" s="867"/>
      <c r="T376" s="867"/>
      <c r="U376" s="867"/>
      <c r="V376" s="867"/>
      <c r="W376" s="867"/>
      <c r="X376" s="868"/>
      <c r="AA376" s="866" t="s">
        <v>161</v>
      </c>
      <c r="AB376" s="867"/>
      <c r="AC376" s="867"/>
      <c r="AD376" s="867"/>
      <c r="AE376" s="867"/>
      <c r="AF376" s="867"/>
      <c r="AG376" s="868"/>
      <c r="AH376" s="866" t="s">
        <v>189</v>
      </c>
      <c r="AI376" s="867"/>
      <c r="AJ376" s="867"/>
      <c r="AK376" s="867"/>
      <c r="AL376" s="867"/>
      <c r="AM376" s="867"/>
      <c r="AN376" s="868"/>
    </row>
    <row r="377" spans="2:40" s="120" customFormat="1" hidden="1" x14ac:dyDescent="0.25">
      <c r="B377" s="195"/>
      <c r="C377" s="354" t="str">
        <f>IF(E324=1,"N/A",IF(E324=2,"N/A",IF(E324=3,"N/A",IF(E324=4,"N/A",IF(E324=5,"N/A",IF(E324=6,"N/A",))))))</f>
        <v>N/A</v>
      </c>
      <c r="D377" s="126"/>
      <c r="E377" s="126"/>
      <c r="F377" s="195"/>
      <c r="G377" s="195"/>
      <c r="H377" s="195"/>
      <c r="I377" s="195"/>
      <c r="J377" s="195"/>
      <c r="K377" s="321"/>
      <c r="L377" s="322" t="s">
        <v>130</v>
      </c>
      <c r="M377" s="325"/>
      <c r="N377" s="325"/>
      <c r="O377" s="323" t="s">
        <v>130</v>
      </c>
      <c r="P377" s="334" t="s">
        <v>130</v>
      </c>
      <c r="Q377" s="324"/>
      <c r="R377" s="335"/>
      <c r="S377" s="322" t="s">
        <v>89</v>
      </c>
      <c r="T377" s="315"/>
      <c r="U377" s="315"/>
      <c r="V377" s="336">
        <f>$X$324</f>
        <v>-4.4999999999999998E-2</v>
      </c>
      <c r="W377" s="337" t="str">
        <f>$AM$352</f>
        <v>Retention</v>
      </c>
      <c r="X377" s="333"/>
      <c r="AA377" s="321"/>
      <c r="AB377" s="322" t="s">
        <v>130</v>
      </c>
      <c r="AC377" s="322"/>
      <c r="AD377" s="322"/>
      <c r="AE377" s="323" t="s">
        <v>130</v>
      </c>
      <c r="AF377" s="334" t="s">
        <v>130</v>
      </c>
      <c r="AG377" s="324"/>
      <c r="AH377" s="321"/>
      <c r="AI377" s="322" t="s">
        <v>89</v>
      </c>
      <c r="AJ377" s="322"/>
      <c r="AK377" s="322"/>
      <c r="AL377" s="323">
        <f>$W$340</f>
        <v>-9.5000000000000001E-2</v>
      </c>
      <c r="AM377" s="313" t="str">
        <f t="shared" ref="AM377:AM378" si="32">IF(AL377&lt;0,"Retention", IF(AL377&gt;0,"Rebate", IF(AL377=0,"No Cost")))</f>
        <v>Retention</v>
      </c>
      <c r="AN377" s="328"/>
    </row>
    <row r="378" spans="2:40" s="120" customFormat="1" hidden="1" x14ac:dyDescent="0.25">
      <c r="B378" s="195"/>
      <c r="C378" s="354" t="str">
        <f>IF(E324=1,"N/A",IF(E324=2,"N/A",IF(E324=3,"N/A",IF(E324=4,"N/A",IF(E324=5,"N/A",IF(E324=6,"N/A",))))))</f>
        <v>N/A</v>
      </c>
      <c r="D378" s="126"/>
      <c r="E378" s="126"/>
      <c r="F378" s="195"/>
      <c r="G378" s="195"/>
      <c r="H378" s="195"/>
      <c r="I378" s="195"/>
      <c r="J378" s="195"/>
      <c r="K378" s="321"/>
      <c r="L378" s="312" t="s">
        <v>100</v>
      </c>
      <c r="M378" s="315"/>
      <c r="N378" s="315"/>
      <c r="O378" s="316">
        <f>$U$317</f>
        <v>-7.6999999999999999E-2</v>
      </c>
      <c r="P378" s="313" t="str">
        <f t="shared" ref="P378" si="33">IF(O378&lt;0,"Retention", IF(O378&gt;0,"Rebate", IF(O378=0,"No Cost")))</f>
        <v>Retention</v>
      </c>
      <c r="Q378" s="324"/>
      <c r="R378" s="335"/>
      <c r="S378" s="322" t="s">
        <v>90</v>
      </c>
      <c r="T378" s="322"/>
      <c r="U378" s="322"/>
      <c r="V378" s="323">
        <f>$X$325</f>
        <v>-4.4999999999999998E-2</v>
      </c>
      <c r="W378" s="334" t="s">
        <v>121</v>
      </c>
      <c r="X378" s="328"/>
      <c r="AA378" s="321"/>
      <c r="AB378" s="312" t="s">
        <v>100</v>
      </c>
      <c r="AC378" s="315"/>
      <c r="AD378" s="315"/>
      <c r="AE378" s="510">
        <f>$X$333*(-1)</f>
        <v>-0.12</v>
      </c>
      <c r="AF378" s="313" t="str">
        <f>IF(AE378&lt;0,"Retention", IF(AE378&gt;0,"Rebate", IF(AE378=0,"No Cost")))</f>
        <v>Retention</v>
      </c>
      <c r="AG378" s="324"/>
      <c r="AH378" s="321"/>
      <c r="AI378" s="322" t="s">
        <v>137</v>
      </c>
      <c r="AJ378" s="325"/>
      <c r="AK378" s="325"/>
      <c r="AL378" s="389">
        <f>$W$341</f>
        <v>-0.105</v>
      </c>
      <c r="AM378" s="313" t="str">
        <f t="shared" si="32"/>
        <v>Retention</v>
      </c>
      <c r="AN378" s="328"/>
    </row>
    <row r="379" spans="2:40" s="120" customFormat="1" hidden="1" x14ac:dyDescent="0.25">
      <c r="B379" s="195"/>
      <c r="C379" s="195"/>
      <c r="D379" s="195"/>
      <c r="E379" s="195"/>
      <c r="F379" s="195"/>
      <c r="G379" s="195"/>
      <c r="H379" s="195"/>
      <c r="I379" s="195"/>
      <c r="J379" s="195"/>
      <c r="K379" s="338"/>
      <c r="L379" s="339" t="s">
        <v>130</v>
      </c>
      <c r="M379" s="340"/>
      <c r="N379" s="340"/>
      <c r="O379" s="376" t="s">
        <v>130</v>
      </c>
      <c r="P379" s="341" t="s">
        <v>130</v>
      </c>
      <c r="Q379" s="342"/>
      <c r="R379" s="311"/>
      <c r="S379" s="312" t="s">
        <v>138</v>
      </c>
      <c r="T379" s="315"/>
      <c r="U379" s="315"/>
      <c r="V379" s="511" t="str">
        <f>$X$326</f>
        <v>-4.50%</v>
      </c>
      <c r="W379" s="313" t="str">
        <f>IF(V379&lt;0,"Retention", IF(V379&gt;0,"Rebate", IF(V379=0,"No Cost")))</f>
        <v>Rebate</v>
      </c>
      <c r="X379" s="320"/>
      <c r="AA379" s="338"/>
      <c r="AB379" s="339" t="s">
        <v>130</v>
      </c>
      <c r="AC379" s="340"/>
      <c r="AD379" s="340"/>
      <c r="AE379" s="369" t="s">
        <v>130</v>
      </c>
      <c r="AF379" s="341" t="s">
        <v>130</v>
      </c>
      <c r="AG379" s="342"/>
      <c r="AH379" s="338"/>
      <c r="AI379" s="339" t="s">
        <v>138</v>
      </c>
      <c r="AJ379" s="340"/>
      <c r="AK379" s="340"/>
      <c r="AL379" s="390">
        <f>$W$342</f>
        <v>-0.125</v>
      </c>
      <c r="AM379" s="341" t="str">
        <f>IF(AL379&lt;0,"Retention", IF(AL379&gt;0,"Rebate", IF(AL379=0,"No Cost")))</f>
        <v>Retention</v>
      </c>
      <c r="AN379" s="343"/>
    </row>
    <row r="380" spans="2:40" s="120" customFormat="1" ht="13.8" hidden="1" thickBot="1" x14ac:dyDescent="0.3">
      <c r="B380" s="195"/>
      <c r="C380" s="303">
        <f>0.0157*10</f>
        <v>0.157</v>
      </c>
      <c r="D380" s="121"/>
      <c r="E380" s="121"/>
      <c r="F380" s="121"/>
      <c r="G380" s="195"/>
      <c r="H380" s="195"/>
      <c r="I380" s="195"/>
      <c r="J380" s="195"/>
      <c r="K380" s="869" t="str">
        <f>$C$362</f>
        <v xml:space="preserve"> Option C  =  -3.2% to -11.5% Retentions</v>
      </c>
      <c r="L380" s="870"/>
      <c r="M380" s="870"/>
      <c r="N380" s="870"/>
      <c r="O380" s="870"/>
      <c r="P380" s="870"/>
      <c r="Q380" s="870"/>
      <c r="R380" s="870"/>
      <c r="S380" s="870"/>
      <c r="T380" s="870"/>
      <c r="U380" s="870"/>
      <c r="V380" s="870"/>
      <c r="W380" s="870"/>
      <c r="X380" s="871"/>
    </row>
    <row r="381" spans="2:40" s="120" customFormat="1" ht="13.5" hidden="1" customHeight="1" x14ac:dyDescent="0.25">
      <c r="B381" s="195"/>
      <c r="C381" s="872" t="s">
        <v>143</v>
      </c>
      <c r="D381" s="872"/>
      <c r="E381" s="872"/>
      <c r="F381" s="872"/>
      <c r="G381" s="195"/>
      <c r="H381" s="195"/>
      <c r="I381" s="195"/>
      <c r="J381" s="195"/>
      <c r="K381" s="873" t="s">
        <v>133</v>
      </c>
      <c r="L381" s="874"/>
      <c r="M381" s="874"/>
      <c r="N381" s="874"/>
      <c r="O381" s="874"/>
      <c r="P381" s="874"/>
      <c r="Q381" s="875"/>
      <c r="R381" s="876" t="s">
        <v>178</v>
      </c>
      <c r="S381" s="877"/>
      <c r="T381" s="877"/>
      <c r="U381" s="877"/>
      <c r="V381" s="877"/>
      <c r="W381" s="877"/>
      <c r="X381" s="878"/>
    </row>
    <row r="382" spans="2:40" s="120" customFormat="1" ht="13.5" hidden="1" customHeight="1" x14ac:dyDescent="0.25">
      <c r="B382" s="195"/>
      <c r="C382" s="195"/>
      <c r="D382" s="195"/>
      <c r="E382" s="195"/>
      <c r="F382" s="195"/>
      <c r="G382" s="195"/>
      <c r="H382" s="195"/>
      <c r="I382" s="195"/>
      <c r="J382" s="195"/>
      <c r="K382" s="311"/>
      <c r="L382" s="312" t="s">
        <v>130</v>
      </c>
      <c r="M382" s="312"/>
      <c r="N382" s="312"/>
      <c r="O382" s="331" t="s">
        <v>130</v>
      </c>
      <c r="P382" s="313" t="s">
        <v>130</v>
      </c>
      <c r="Q382" s="314"/>
      <c r="R382" s="321"/>
      <c r="S382" s="322" t="s">
        <v>89</v>
      </c>
      <c r="T382" s="322"/>
      <c r="U382" s="322"/>
      <c r="V382" s="323">
        <f>V324</f>
        <v>-8.5000000000000006E-2</v>
      </c>
      <c r="W382" s="313" t="str">
        <f t="shared" ref="W382:W384" si="34">IF(V382&lt;0,"Retention", IF(V382&gt;0,"Rebate", IF(V382=0,"No Cost")))</f>
        <v>Retention</v>
      </c>
      <c r="X382" s="328"/>
    </row>
    <row r="383" spans="2:40" s="120" customFormat="1" ht="13.5" hidden="1" customHeight="1" x14ac:dyDescent="0.25">
      <c r="B383" s="195"/>
      <c r="C383" s="195"/>
      <c r="D383" s="195"/>
      <c r="E383" s="195"/>
      <c r="F383" s="195"/>
      <c r="G383" s="195"/>
      <c r="H383" s="195"/>
      <c r="I383" s="195"/>
      <c r="J383" s="195"/>
      <c r="K383" s="311"/>
      <c r="L383" s="312" t="s">
        <v>100</v>
      </c>
      <c r="M383" s="315"/>
      <c r="N383" s="315"/>
      <c r="O383" s="332">
        <f>$X$331*(-1)</f>
        <v>-6.4000000000000001E-2</v>
      </c>
      <c r="P383" s="313" t="str">
        <f>IF(O383&lt;0,"Retention", IF(O383&gt;0,"Rebate", IF(O383=0,"No Cost")))</f>
        <v>Retention</v>
      </c>
      <c r="Q383" s="317"/>
      <c r="R383" s="311"/>
      <c r="S383" s="322" t="s">
        <v>90</v>
      </c>
      <c r="T383" s="315"/>
      <c r="U383" s="315"/>
      <c r="V383" s="316">
        <f>V325</f>
        <v>-8.5000000000000006E-2</v>
      </c>
      <c r="W383" s="313" t="str">
        <f t="shared" si="34"/>
        <v>Retention</v>
      </c>
      <c r="X383" s="320"/>
    </row>
    <row r="384" spans="2:40" s="120" customFormat="1" ht="13.5" hidden="1" customHeight="1" x14ac:dyDescent="0.25">
      <c r="B384" s="195"/>
      <c r="C384" s="195"/>
      <c r="D384" s="195"/>
      <c r="E384" s="195"/>
      <c r="F384" s="195"/>
      <c r="G384" s="195"/>
      <c r="H384" s="195"/>
      <c r="I384" s="195"/>
      <c r="J384" s="195"/>
      <c r="K384" s="311"/>
      <c r="L384" s="312" t="s">
        <v>130</v>
      </c>
      <c r="M384" s="315"/>
      <c r="N384" s="315"/>
      <c r="O384" s="332" t="s">
        <v>130</v>
      </c>
      <c r="P384" s="313" t="s">
        <v>130</v>
      </c>
      <c r="Q384" s="317"/>
      <c r="R384" s="311"/>
      <c r="S384" s="312" t="s">
        <v>138</v>
      </c>
      <c r="T384" s="315"/>
      <c r="U384" s="315"/>
      <c r="V384" s="318">
        <f>V326</f>
        <v>-9.5000000000000001E-2</v>
      </c>
      <c r="W384" s="313" t="str">
        <f t="shared" si="34"/>
        <v>Retention</v>
      </c>
      <c r="X384" s="320"/>
    </row>
    <row r="385" spans="2:41" s="120" customFormat="1" ht="13.5" hidden="1" customHeight="1" x14ac:dyDescent="0.25">
      <c r="B385" s="195"/>
      <c r="C385" s="195"/>
      <c r="D385" s="195"/>
      <c r="E385" s="195"/>
      <c r="F385" s="195"/>
      <c r="G385" s="195"/>
      <c r="H385" s="195"/>
      <c r="I385" s="195"/>
      <c r="J385" s="195"/>
      <c r="K385" s="866" t="s">
        <v>144</v>
      </c>
      <c r="L385" s="867"/>
      <c r="M385" s="867"/>
      <c r="N385" s="867"/>
      <c r="O385" s="867"/>
      <c r="P385" s="867"/>
      <c r="Q385" s="868"/>
      <c r="R385" s="866" t="s">
        <v>177</v>
      </c>
      <c r="S385" s="867"/>
      <c r="T385" s="867"/>
      <c r="U385" s="867"/>
      <c r="V385" s="867"/>
      <c r="W385" s="867"/>
      <c r="X385" s="868"/>
    </row>
    <row r="386" spans="2:41" s="120" customFormat="1" ht="13.5" hidden="1" customHeight="1" x14ac:dyDescent="0.25">
      <c r="B386" s="195"/>
      <c r="C386" s="195"/>
      <c r="D386" s="195"/>
      <c r="E386" s="195"/>
      <c r="F386" s="195"/>
      <c r="G386" s="195"/>
      <c r="H386" s="195"/>
      <c r="I386" s="195"/>
      <c r="J386" s="195"/>
      <c r="K386" s="321"/>
      <c r="L386" s="322" t="s">
        <v>130</v>
      </c>
      <c r="M386" s="322"/>
      <c r="N386" s="322"/>
      <c r="O386" s="329" t="s">
        <v>130</v>
      </c>
      <c r="P386" s="313" t="s">
        <v>130</v>
      </c>
      <c r="Q386" s="324"/>
      <c r="R386" s="321"/>
      <c r="S386" s="312" t="s">
        <v>182</v>
      </c>
      <c r="T386" s="322"/>
      <c r="U386" s="322"/>
      <c r="V386" s="323">
        <f>$W$324</f>
        <v>-7.4999999999999997E-2</v>
      </c>
      <c r="W386" s="313" t="str">
        <f>IF(V386&lt;0,"Retention", IF(V386&gt;0,"Rebate", IF(V386=0,"No Cost")))</f>
        <v>Retention</v>
      </c>
      <c r="X386" s="328"/>
    </row>
    <row r="387" spans="2:41" s="120" customFormat="1" ht="13.5" hidden="1" customHeight="1" x14ac:dyDescent="0.25">
      <c r="B387" s="195"/>
      <c r="C387" s="195"/>
      <c r="D387" s="195"/>
      <c r="E387" s="195"/>
      <c r="F387" s="195"/>
      <c r="G387" s="195"/>
      <c r="H387" s="195"/>
      <c r="I387" s="195"/>
      <c r="J387" s="195"/>
      <c r="K387" s="321"/>
      <c r="L387" s="312" t="s">
        <v>100</v>
      </c>
      <c r="M387" s="325"/>
      <c r="N387" s="325"/>
      <c r="O387" s="330">
        <f>$X$332*(-1)</f>
        <v>-0.10199999999999999</v>
      </c>
      <c r="P387" s="313" t="str">
        <f>IF(O387&lt;0,"Retention", IF(O387&gt;0,"Rebate", IF(O387=0,"No Cost")))</f>
        <v>Retention</v>
      </c>
      <c r="Q387" s="324"/>
      <c r="R387" s="311"/>
      <c r="S387" s="312" t="s">
        <v>99</v>
      </c>
      <c r="T387" s="315"/>
      <c r="U387" s="315"/>
      <c r="V387" s="316">
        <v>-6.4000000000000001E-2</v>
      </c>
      <c r="W387" s="313" t="str">
        <f>IF(V387&lt;0,"Retention", IF(V387&gt;0,"Rebate", IF(V387=0,"No Cost")))</f>
        <v>Retention</v>
      </c>
      <c r="X387" s="320"/>
    </row>
    <row r="388" spans="2:41" s="120" customFormat="1" ht="13.5" hidden="1" customHeight="1" x14ac:dyDescent="0.25">
      <c r="B388" s="195"/>
      <c r="C388" s="195"/>
      <c r="D388" s="195"/>
      <c r="E388" s="195"/>
      <c r="F388" s="195"/>
      <c r="G388" s="195"/>
      <c r="H388" s="195"/>
      <c r="I388" s="195"/>
      <c r="J388" s="195"/>
      <c r="K388" s="321"/>
      <c r="L388" s="312" t="s">
        <v>130</v>
      </c>
      <c r="M388" s="319"/>
      <c r="N388" s="319"/>
      <c r="O388" s="377" t="s">
        <v>130</v>
      </c>
      <c r="P388" s="313" t="s">
        <v>130</v>
      </c>
      <c r="Q388" s="324"/>
      <c r="R388" s="374"/>
      <c r="S388" s="339" t="s">
        <v>130</v>
      </c>
      <c r="T388" s="340"/>
      <c r="U388" s="340"/>
      <c r="V388" s="524" t="s">
        <v>130</v>
      </c>
      <c r="W388" s="341" t="s">
        <v>130</v>
      </c>
      <c r="X388" s="375"/>
    </row>
    <row r="389" spans="2:41" s="120" customFormat="1" ht="12.75" hidden="1" customHeight="1" x14ac:dyDescent="0.25">
      <c r="B389" s="195"/>
      <c r="C389" s="195"/>
      <c r="D389" s="195"/>
      <c r="E389" s="195"/>
      <c r="F389" s="195"/>
      <c r="G389" s="195"/>
      <c r="H389" s="195"/>
      <c r="I389" s="195"/>
      <c r="J389" s="195"/>
      <c r="K389" s="866" t="s">
        <v>161</v>
      </c>
      <c r="L389" s="867"/>
      <c r="M389" s="867"/>
      <c r="N389" s="867"/>
      <c r="O389" s="867"/>
      <c r="P389" s="867"/>
      <c r="Q389" s="868"/>
      <c r="R389" s="866" t="s">
        <v>188</v>
      </c>
      <c r="S389" s="867"/>
      <c r="T389" s="867"/>
      <c r="U389" s="867"/>
      <c r="V389" s="867"/>
      <c r="W389" s="867"/>
      <c r="X389" s="868"/>
    </row>
    <row r="390" spans="2:41" s="120" customFormat="1" ht="12.75" hidden="1" customHeight="1" x14ac:dyDescent="0.25">
      <c r="B390" s="195"/>
      <c r="C390" s="195"/>
      <c r="D390" s="195"/>
      <c r="E390" s="195"/>
      <c r="F390" s="195"/>
      <c r="G390" s="195"/>
      <c r="H390" s="195"/>
      <c r="I390" s="195"/>
      <c r="J390" s="195"/>
      <c r="K390" s="321"/>
      <c r="L390" s="322" t="s">
        <v>130</v>
      </c>
      <c r="M390" s="322"/>
      <c r="N390" s="322"/>
      <c r="O390" s="323" t="s">
        <v>130</v>
      </c>
      <c r="P390" s="334" t="s">
        <v>130</v>
      </c>
      <c r="Q390" s="324"/>
      <c r="R390" s="321"/>
      <c r="S390" s="322" t="s">
        <v>89</v>
      </c>
      <c r="T390" s="322"/>
      <c r="U390" s="322"/>
      <c r="V390" s="323">
        <f>$X$324</f>
        <v>-4.4999999999999998E-2</v>
      </c>
      <c r="W390" s="313" t="str">
        <f t="shared" ref="W390:W391" si="35">IF(V390&lt;0,"Retention", IF(V390&gt;0,"Rebate", IF(V390=0,"No Cost")))</f>
        <v>Retention</v>
      </c>
      <c r="X390" s="328"/>
    </row>
    <row r="391" spans="2:41" s="120" customFormat="1" ht="12.75" hidden="1" customHeight="1" x14ac:dyDescent="0.25">
      <c r="B391" s="195"/>
      <c r="C391" s="195"/>
      <c r="D391" s="195"/>
      <c r="E391" s="195"/>
      <c r="F391" s="195"/>
      <c r="G391" s="195"/>
      <c r="H391" s="195"/>
      <c r="I391" s="195"/>
      <c r="J391" s="195"/>
      <c r="K391" s="321"/>
      <c r="L391" s="312" t="s">
        <v>100</v>
      </c>
      <c r="M391" s="315"/>
      <c r="N391" s="315"/>
      <c r="O391" s="510">
        <f>$X$333*(-1)</f>
        <v>-0.12</v>
      </c>
      <c r="P391" s="313" t="str">
        <f>IF(O391&lt;0,"Retention", IF(O391&gt;0,"Rebate", IF(O391=0,"No Cost")))</f>
        <v>Retention</v>
      </c>
      <c r="Q391" s="324"/>
      <c r="R391" s="321"/>
      <c r="S391" s="322" t="s">
        <v>137</v>
      </c>
      <c r="T391" s="325"/>
      <c r="U391" s="325"/>
      <c r="V391" s="326">
        <f>$X$325</f>
        <v>-4.4999999999999998E-2</v>
      </c>
      <c r="W391" s="313" t="str">
        <f t="shared" si="35"/>
        <v>Retention</v>
      </c>
      <c r="X391" s="328"/>
    </row>
    <row r="392" spans="2:41" s="120" customFormat="1" ht="12.75" hidden="1" customHeight="1" x14ac:dyDescent="0.25">
      <c r="B392" s="195"/>
      <c r="C392" s="195"/>
      <c r="D392" s="195"/>
      <c r="E392" s="195"/>
      <c r="F392" s="195"/>
      <c r="G392" s="195"/>
      <c r="H392" s="195"/>
      <c r="I392" s="195"/>
      <c r="J392" s="195"/>
      <c r="K392" s="338"/>
      <c r="L392" s="339" t="s">
        <v>130</v>
      </c>
      <c r="M392" s="340"/>
      <c r="N392" s="340"/>
      <c r="O392" s="369" t="s">
        <v>130</v>
      </c>
      <c r="P392" s="341" t="s">
        <v>130</v>
      </c>
      <c r="Q392" s="342"/>
      <c r="R392" s="338"/>
      <c r="S392" s="339" t="s">
        <v>138</v>
      </c>
      <c r="T392" s="340"/>
      <c r="U392" s="340"/>
      <c r="V392" s="376" t="str">
        <f>$X$326</f>
        <v>-4.50%</v>
      </c>
      <c r="W392" s="341" t="str">
        <f>IF(V392&lt;0,"Retention", IF(V392&gt;0,"Rebate", IF(V392=0,"No Cost")))</f>
        <v>Rebate</v>
      </c>
      <c r="X392" s="343"/>
    </row>
    <row r="393" spans="2:41" s="120" customFormat="1" ht="12.75" hidden="1" customHeight="1" x14ac:dyDescent="0.25">
      <c r="B393" s="195"/>
      <c r="C393" s="195"/>
      <c r="D393" s="195"/>
      <c r="E393" s="195"/>
      <c r="F393" s="195"/>
      <c r="G393" s="195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</row>
    <row r="394" spans="2:41" s="120" customFormat="1" ht="12.75" hidden="1" customHeight="1" x14ac:dyDescent="0.25">
      <c r="B394" s="195"/>
      <c r="C394" s="195"/>
      <c r="D394" s="195"/>
      <c r="E394" s="195"/>
      <c r="F394" s="195"/>
      <c r="G394" s="195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</row>
    <row r="395" spans="2:41" s="120" customFormat="1" ht="13.5" hidden="1" customHeight="1" x14ac:dyDescent="0.25">
      <c r="B395" s="195"/>
      <c r="C395" s="195"/>
      <c r="D395" s="195"/>
      <c r="E395" s="195"/>
      <c r="F395" s="195"/>
      <c r="G395" s="195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  <c r="R395" s="195"/>
      <c r="S395" s="195"/>
    </row>
    <row r="396" spans="2:41" ht="12.75" hidden="1" customHeight="1" x14ac:dyDescent="0.25">
      <c r="B396" s="195"/>
      <c r="C396" s="195"/>
      <c r="D396" s="195"/>
      <c r="E396" s="195"/>
      <c r="F396" s="195"/>
      <c r="G396" s="195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  <c r="R396" s="195"/>
      <c r="S396" s="195"/>
      <c r="Z396" s="119"/>
      <c r="AO396" s="119"/>
    </row>
    <row r="397" spans="2:41" ht="12.75" hidden="1" customHeight="1" x14ac:dyDescent="0.25">
      <c r="B397" s="195"/>
      <c r="C397" s="195"/>
      <c r="D397" s="195"/>
      <c r="E397" s="195"/>
      <c r="F397" s="195"/>
      <c r="G397" s="195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  <c r="R397" s="195"/>
      <c r="S397" s="195"/>
    </row>
    <row r="398" spans="2:41" ht="12.75" hidden="1" customHeight="1" x14ac:dyDescent="0.25">
      <c r="B398" s="195"/>
      <c r="C398" s="195"/>
      <c r="D398" s="195"/>
      <c r="E398" s="195"/>
      <c r="F398" s="195"/>
      <c r="G398" s="195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  <c r="R398" s="195"/>
      <c r="S398" s="195"/>
    </row>
    <row r="399" spans="2:41" ht="13.5" hidden="1" customHeight="1" x14ac:dyDescent="0.25">
      <c r="B399" s="195"/>
      <c r="C399" s="195"/>
      <c r="D399" s="195"/>
      <c r="E399" s="195"/>
      <c r="F399" s="195"/>
      <c r="G399" s="195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  <c r="R399" s="195"/>
      <c r="S399" s="195"/>
    </row>
    <row r="400" spans="2:41" hidden="1" x14ac:dyDescent="0.25">
      <c r="B400" s="195"/>
      <c r="C400" s="195"/>
      <c r="D400" s="195"/>
      <c r="E400" s="195"/>
      <c r="F400" s="195"/>
      <c r="G400" s="195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  <c r="R400" s="195"/>
      <c r="S400" s="195"/>
    </row>
    <row r="401" spans="2:19" x14ac:dyDescent="0.25">
      <c r="B401" s="195"/>
      <c r="C401" s="195"/>
      <c r="D401" s="195"/>
      <c r="E401" s="195"/>
      <c r="F401" s="195"/>
      <c r="G401" s="195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  <c r="R401" s="195"/>
      <c r="S401" s="195"/>
    </row>
    <row r="402" spans="2:19" x14ac:dyDescent="0.25">
      <c r="B402" s="195"/>
      <c r="C402" s="195"/>
      <c r="D402" s="195"/>
      <c r="E402" s="195"/>
      <c r="F402" s="195"/>
      <c r="G402" s="195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  <c r="R402" s="195"/>
      <c r="S402" s="195"/>
    </row>
    <row r="403" spans="2:19" x14ac:dyDescent="0.25">
      <c r="B403" s="195"/>
      <c r="C403" s="195"/>
      <c r="D403" s="195"/>
      <c r="E403" s="195"/>
      <c r="F403" s="195"/>
      <c r="G403" s="195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</row>
  </sheetData>
  <mergeCells count="192">
    <mergeCell ref="C14:G15"/>
    <mergeCell ref="K14:Q15"/>
    <mergeCell ref="R14:W15"/>
    <mergeCell ref="C16:D17"/>
    <mergeCell ref="E16:G17"/>
    <mergeCell ref="K17:X17"/>
    <mergeCell ref="W2:Y6"/>
    <mergeCell ref="K3:V6"/>
    <mergeCell ref="C7:E9"/>
    <mergeCell ref="G7:G9"/>
    <mergeCell ref="K7:X9"/>
    <mergeCell ref="C10:E13"/>
    <mergeCell ref="G10:G13"/>
    <mergeCell ref="K10:X13"/>
    <mergeCell ref="C24:F25"/>
    <mergeCell ref="G24:G25"/>
    <mergeCell ref="L24:N24"/>
    <mergeCell ref="S24:U24"/>
    <mergeCell ref="L25:N25"/>
    <mergeCell ref="S25:U25"/>
    <mergeCell ref="C18:D19"/>
    <mergeCell ref="E18:G19"/>
    <mergeCell ref="K18:X18"/>
    <mergeCell ref="K19:X21"/>
    <mergeCell ref="C20:G21"/>
    <mergeCell ref="C22:F23"/>
    <mergeCell ref="G22:G23"/>
    <mergeCell ref="K22:Q23"/>
    <mergeCell ref="R22:X23"/>
    <mergeCell ref="C26:E27"/>
    <mergeCell ref="F26:F27"/>
    <mergeCell ref="G26:G27"/>
    <mergeCell ref="L26:N26"/>
    <mergeCell ref="S26:U26"/>
    <mergeCell ref="C28:F29"/>
    <mergeCell ref="G28:G29"/>
    <mergeCell ref="K28:Q29"/>
    <mergeCell ref="R28:X29"/>
    <mergeCell ref="C30:G31"/>
    <mergeCell ref="L30:N30"/>
    <mergeCell ref="S30:U30"/>
    <mergeCell ref="L31:N31"/>
    <mergeCell ref="S31:U31"/>
    <mergeCell ref="C32:F33"/>
    <mergeCell ref="G32:G33"/>
    <mergeCell ref="L32:N32"/>
    <mergeCell ref="S32:U32"/>
    <mergeCell ref="C34:F35"/>
    <mergeCell ref="G34:G35"/>
    <mergeCell ref="K34:Q35"/>
    <mergeCell ref="R34:X35"/>
    <mergeCell ref="C36:F37"/>
    <mergeCell ref="G36:G37"/>
    <mergeCell ref="L36:N36"/>
    <mergeCell ref="S36:U36"/>
    <mergeCell ref="L37:N37"/>
    <mergeCell ref="S37:U37"/>
    <mergeCell ref="C42:Y42"/>
    <mergeCell ref="C302:D302"/>
    <mergeCell ref="E302:F302"/>
    <mergeCell ref="G302:I304"/>
    <mergeCell ref="K302:L304"/>
    <mergeCell ref="AA302:AN302"/>
    <mergeCell ref="AA303:AG303"/>
    <mergeCell ref="AH303:AN303"/>
    <mergeCell ref="C38:F39"/>
    <mergeCell ref="G38:G39"/>
    <mergeCell ref="L38:N38"/>
    <mergeCell ref="S38:U38"/>
    <mergeCell ref="C40:G40"/>
    <mergeCell ref="K40:Q41"/>
    <mergeCell ref="R40:X41"/>
    <mergeCell ref="C41:E41"/>
    <mergeCell ref="AA315:AN315"/>
    <mergeCell ref="AA316:AG316"/>
    <mergeCell ref="AH316:AN316"/>
    <mergeCell ref="AA320:AG320"/>
    <mergeCell ref="AH320:AN320"/>
    <mergeCell ref="C305:D305"/>
    <mergeCell ref="E305:F305"/>
    <mergeCell ref="AA307:AG307"/>
    <mergeCell ref="AH307:AN307"/>
    <mergeCell ref="T308:V308"/>
    <mergeCell ref="K309:L312"/>
    <mergeCell ref="AA311:AG311"/>
    <mergeCell ref="AH311:AN311"/>
    <mergeCell ref="K322:M322"/>
    <mergeCell ref="O322:Q322"/>
    <mergeCell ref="U322:V322"/>
    <mergeCell ref="K323:M324"/>
    <mergeCell ref="P323:Q323"/>
    <mergeCell ref="R323:S323"/>
    <mergeCell ref="P324:Q324"/>
    <mergeCell ref="R324:S324"/>
    <mergeCell ref="K315:L317"/>
    <mergeCell ref="T315:V315"/>
    <mergeCell ref="AA324:AG324"/>
    <mergeCell ref="AH324:AN324"/>
    <mergeCell ref="K326:K327"/>
    <mergeCell ref="L326:L327"/>
    <mergeCell ref="M326:M327"/>
    <mergeCell ref="N326:N327"/>
    <mergeCell ref="O326:O327"/>
    <mergeCell ref="P326:P327"/>
    <mergeCell ref="Q326:Q327"/>
    <mergeCell ref="R326:R327"/>
    <mergeCell ref="S326:S327"/>
    <mergeCell ref="C328:F329"/>
    <mergeCell ref="G328:G329"/>
    <mergeCell ref="AA328:AN328"/>
    <mergeCell ref="K329:M330"/>
    <mergeCell ref="P329:Q329"/>
    <mergeCell ref="R329:S329"/>
    <mergeCell ref="U329:X329"/>
    <mergeCell ref="AA329:AG329"/>
    <mergeCell ref="AH329:AN329"/>
    <mergeCell ref="C330:F331"/>
    <mergeCell ref="G330:G331"/>
    <mergeCell ref="P330:Q330"/>
    <mergeCell ref="R330:S330"/>
    <mergeCell ref="C337:F338"/>
    <mergeCell ref="G337:G338"/>
    <mergeCell ref="AA337:AG337"/>
    <mergeCell ref="AH337:AN337"/>
    <mergeCell ref="U338:W338"/>
    <mergeCell ref="O332:O333"/>
    <mergeCell ref="P332:P333"/>
    <mergeCell ref="Q332:Q333"/>
    <mergeCell ref="R332:R333"/>
    <mergeCell ref="S332:S333"/>
    <mergeCell ref="AA333:AG333"/>
    <mergeCell ref="C332:F333"/>
    <mergeCell ref="G332:G333"/>
    <mergeCell ref="K332:K333"/>
    <mergeCell ref="L332:L333"/>
    <mergeCell ref="M332:M333"/>
    <mergeCell ref="N332:N333"/>
    <mergeCell ref="AH333:AN333"/>
    <mergeCell ref="C334:G334"/>
    <mergeCell ref="C335:F336"/>
    <mergeCell ref="G335:G336"/>
    <mergeCell ref="K335:N335"/>
    <mergeCell ref="K344:L344"/>
    <mergeCell ref="P344:Q344"/>
    <mergeCell ref="O345:O346"/>
    <mergeCell ref="AA346:AG346"/>
    <mergeCell ref="AH346:AN346"/>
    <mergeCell ref="AA350:AG350"/>
    <mergeCell ref="AH350:AN350"/>
    <mergeCell ref="C339:F340"/>
    <mergeCell ref="G339:G340"/>
    <mergeCell ref="C341:F342"/>
    <mergeCell ref="G341:G342"/>
    <mergeCell ref="AA341:AN341"/>
    <mergeCell ref="AA342:AG342"/>
    <mergeCell ref="AH342:AN342"/>
    <mergeCell ref="K359:Q359"/>
    <mergeCell ref="R359:X359"/>
    <mergeCell ref="AA359:AG359"/>
    <mergeCell ref="AH359:AN359"/>
    <mergeCell ref="K363:Q363"/>
    <mergeCell ref="R363:X363"/>
    <mergeCell ref="AA363:AG363"/>
    <mergeCell ref="AH363:AN363"/>
    <mergeCell ref="K354:X354"/>
    <mergeCell ref="AA354:AN354"/>
    <mergeCell ref="K355:Q355"/>
    <mergeCell ref="R355:X355"/>
    <mergeCell ref="AA355:AG355"/>
    <mergeCell ref="AH355:AN355"/>
    <mergeCell ref="AA372:AG372"/>
    <mergeCell ref="AH372:AN372"/>
    <mergeCell ref="K376:Q376"/>
    <mergeCell ref="R376:X376"/>
    <mergeCell ref="AA376:AG376"/>
    <mergeCell ref="AH376:AN376"/>
    <mergeCell ref="K367:X367"/>
    <mergeCell ref="AA367:AN367"/>
    <mergeCell ref="K368:Q368"/>
    <mergeCell ref="R368:X368"/>
    <mergeCell ref="AA368:AG368"/>
    <mergeCell ref="AH368:AN368"/>
    <mergeCell ref="K389:Q389"/>
    <mergeCell ref="R389:X389"/>
    <mergeCell ref="K380:X380"/>
    <mergeCell ref="C381:F381"/>
    <mergeCell ref="K381:Q381"/>
    <mergeCell ref="R381:X381"/>
    <mergeCell ref="K385:Q385"/>
    <mergeCell ref="R385:X385"/>
    <mergeCell ref="K372:Q372"/>
    <mergeCell ref="R372:X372"/>
  </mergeCells>
  <hyperlinks>
    <hyperlink ref="M303" r:id="rId1" display="W%@0% F.R"/>
    <hyperlink ref="M316" r:id="rId2" display="W%@0% F.R"/>
    <hyperlink ref="M310" r:id="rId3" display="W%@0% F.R"/>
    <hyperlink ref="F41" r:id="rId4"/>
    <hyperlink ref="V303" r:id="rId5" display="W%@0% F.R"/>
    <hyperlink ref="R40" r:id="rId6"/>
    <hyperlink ref="X340" r:id="rId7" display="W%@0% F.R"/>
  </hyperlinks>
  <printOptions horizontalCentered="1" verticalCentered="1"/>
  <pageMargins left="7.874015748031496E-2" right="7.874015748031496E-2" top="7.874015748031496E-2" bottom="7.874015748031496E-2" header="0" footer="0"/>
  <pageSetup paperSize="9" scale="79" orientation="landscape" r:id="rId8"/>
  <headerFooter scaleWithDoc="0" alignWithMargins="0">
    <oddFooter>&amp;L&amp;BCredit Capable Confidential&amp;B&amp;C&amp;D&amp;RPage &amp;P</oddFooter>
  </headerFooter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11" name="Drop Down 1">
              <controlPr locked="0" defaultSize="0" autoLine="0" autoPict="0">
                <anchor moveWithCells="1">
                  <from>
                    <xdr:col>3</xdr:col>
                    <xdr:colOff>228600</xdr:colOff>
                    <xdr:row>15</xdr:row>
                    <xdr:rowOff>68580</xdr:rowOff>
                  </from>
                  <to>
                    <xdr:col>4</xdr:col>
                    <xdr:colOff>480060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12" name="Drop Down 2">
              <controlPr locked="0" defaultSize="0" autoLine="0" autoPict="0">
                <anchor moveWithCells="1">
                  <from>
                    <xdr:col>5</xdr:col>
                    <xdr:colOff>746760</xdr:colOff>
                    <xdr:row>15</xdr:row>
                    <xdr:rowOff>60960</xdr:rowOff>
                  </from>
                  <to>
                    <xdr:col>6</xdr:col>
                    <xdr:colOff>1211580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13" name="Drop Down 3">
              <controlPr locked="0" defaultSize="0" autoLine="0" autoPict="0">
                <anchor moveWithCells="1">
                  <from>
                    <xdr:col>5</xdr:col>
                    <xdr:colOff>746760</xdr:colOff>
                    <xdr:row>17</xdr:row>
                    <xdr:rowOff>22860</xdr:rowOff>
                  </from>
                  <to>
                    <xdr:col>6</xdr:col>
                    <xdr:colOff>1211580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14" name="Drop Down 4">
              <controlPr locked="0" defaultSize="0" autoLine="0" autoPict="0">
                <anchor moveWithCells="1">
                  <from>
                    <xdr:col>3</xdr:col>
                    <xdr:colOff>228600</xdr:colOff>
                    <xdr:row>17</xdr:row>
                    <xdr:rowOff>22860</xdr:rowOff>
                  </from>
                  <to>
                    <xdr:col>4</xdr:col>
                    <xdr:colOff>480060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15" name="Drop Down 5">
              <controlPr locked="0" defaultSize="0" autoLine="0" autoPict="0">
                <anchor moveWithCells="1">
                  <from>
                    <xdr:col>17</xdr:col>
                    <xdr:colOff>106680</xdr:colOff>
                    <xdr:row>13</xdr:row>
                    <xdr:rowOff>30480</xdr:rowOff>
                  </from>
                  <to>
                    <xdr:col>22</xdr:col>
                    <xdr:colOff>342900</xdr:colOff>
                    <xdr:row>14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autoPageBreaks="0" fitToPage="1"/>
  </sheetPr>
  <dimension ref="A1:AU519"/>
  <sheetViews>
    <sheetView showGridLines="0" showRowColHeaders="0" tabSelected="1" showOutlineSymbols="0" zoomScaleNormal="100" workbookViewId="0">
      <selection activeCell="C12" sqref="C12:E15"/>
    </sheetView>
  </sheetViews>
  <sheetFormatPr defaultColWidth="9.109375" defaultRowHeight="13.2" x14ac:dyDescent="0.25"/>
  <cols>
    <col min="1" max="1" width="1.77734375" style="121" customWidth="1"/>
    <col min="2" max="2" width="2.109375" style="121" customWidth="1"/>
    <col min="3" max="3" width="14.5546875" style="121" customWidth="1"/>
    <col min="4" max="4" width="10.6640625" style="121" customWidth="1"/>
    <col min="5" max="5" width="11.6640625" style="121" customWidth="1"/>
    <col min="6" max="6" width="13.6640625" style="121" customWidth="1"/>
    <col min="7" max="7" width="18.88671875" style="121" customWidth="1"/>
    <col min="8" max="8" width="1.5546875" style="121" customWidth="1"/>
    <col min="9" max="9" width="0.33203125" style="121" customWidth="1"/>
    <col min="10" max="10" width="1.5546875" style="121" customWidth="1"/>
    <col min="11" max="18" width="7.44140625" style="121" customWidth="1"/>
    <col min="19" max="19" width="7.44140625" style="196" customWidth="1"/>
    <col min="20" max="21" width="7.33203125" style="196" customWidth="1"/>
    <col min="22" max="26" width="7.44140625" style="121" customWidth="1"/>
    <col min="27" max="27" width="1.44140625" style="121" customWidth="1"/>
    <col min="28" max="28" width="4.109375" style="121" customWidth="1"/>
    <col min="29" max="41" width="7.33203125" style="121" customWidth="1"/>
    <col min="42" max="16384" width="9.109375" style="121"/>
  </cols>
  <sheetData>
    <row r="1" spans="1:37" ht="7.5" customHeight="1" x14ac:dyDescent="0.25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</row>
    <row r="2" spans="1:37" ht="15.75" customHeight="1" x14ac:dyDescent="0.25">
      <c r="A2" s="395"/>
      <c r="B2" s="395"/>
      <c r="C2" s="395"/>
      <c r="D2" s="395"/>
      <c r="E2" s="395"/>
      <c r="F2" s="395"/>
      <c r="G2" s="395"/>
      <c r="H2" s="395"/>
      <c r="I2" s="395"/>
      <c r="J2" s="395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723"/>
      <c r="Z2" s="723"/>
      <c r="AA2" s="723"/>
      <c r="AB2" s="404"/>
      <c r="AC2" s="404"/>
    </row>
    <row r="3" spans="1:37" ht="12" customHeight="1" x14ac:dyDescent="0.25">
      <c r="A3" s="395"/>
      <c r="B3" s="395"/>
      <c r="C3" s="404"/>
      <c r="D3" s="404"/>
      <c r="E3" s="404"/>
      <c r="F3" s="404"/>
      <c r="G3" s="404"/>
      <c r="H3" s="395"/>
      <c r="I3" s="404"/>
      <c r="J3" s="405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723"/>
      <c r="Z3" s="723"/>
      <c r="AA3" s="723"/>
      <c r="AB3" s="404"/>
      <c r="AC3" s="404"/>
    </row>
    <row r="4" spans="1:37" ht="12" customHeight="1" x14ac:dyDescent="0.25">
      <c r="A4" s="395"/>
      <c r="B4" s="395"/>
      <c r="C4" s="404"/>
      <c r="D4" s="404"/>
      <c r="E4" s="404"/>
      <c r="F4" s="404"/>
      <c r="G4" s="404"/>
      <c r="H4" s="395"/>
      <c r="I4" s="405"/>
      <c r="J4" s="405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723"/>
      <c r="Z4" s="723"/>
      <c r="AA4" s="723"/>
      <c r="AB4" s="404"/>
      <c r="AC4" s="404"/>
    </row>
    <row r="5" spans="1:37" ht="12" customHeight="1" x14ac:dyDescent="0.25">
      <c r="A5" s="395"/>
      <c r="B5" s="406"/>
      <c r="C5" s="404"/>
      <c r="D5" s="404"/>
      <c r="E5" s="404"/>
      <c r="F5" s="404"/>
      <c r="G5" s="404"/>
      <c r="H5" s="407"/>
      <c r="I5" s="405"/>
      <c r="J5" s="405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723"/>
      <c r="Z5" s="723"/>
      <c r="AA5" s="723"/>
      <c r="AB5" s="404"/>
      <c r="AC5" s="404"/>
    </row>
    <row r="6" spans="1:37" ht="13.5" customHeight="1" x14ac:dyDescent="0.25">
      <c r="A6" s="395"/>
      <c r="B6" s="395"/>
      <c r="C6" s="404"/>
      <c r="D6" s="404"/>
      <c r="E6" s="404"/>
      <c r="F6" s="404"/>
      <c r="G6" s="404"/>
      <c r="H6" s="408"/>
      <c r="I6" s="405"/>
      <c r="J6" s="405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723"/>
      <c r="Z6" s="723"/>
      <c r="AA6" s="723"/>
      <c r="AB6" s="404"/>
      <c r="AC6" s="404"/>
      <c r="AE6" s="370"/>
      <c r="AF6" s="370"/>
      <c r="AG6" s="370"/>
      <c r="AH6" s="370"/>
      <c r="AI6" s="370"/>
      <c r="AJ6" s="370"/>
      <c r="AK6" s="370"/>
    </row>
    <row r="7" spans="1:37" ht="13.5" customHeight="1" x14ac:dyDescent="0.25">
      <c r="A7" s="395"/>
      <c r="B7" s="395"/>
      <c r="H7" s="408"/>
      <c r="I7" s="405"/>
      <c r="J7" s="405"/>
      <c r="K7" s="722"/>
      <c r="L7" s="722"/>
      <c r="M7" s="722"/>
      <c r="N7" s="722"/>
      <c r="O7" s="722"/>
      <c r="P7" s="722"/>
      <c r="Q7" s="722"/>
      <c r="R7" s="722"/>
      <c r="S7" s="722"/>
      <c r="T7" s="722"/>
      <c r="U7" s="722"/>
      <c r="V7" s="722"/>
      <c r="W7" s="722"/>
      <c r="X7" s="722"/>
      <c r="Y7" s="722"/>
      <c r="Z7" s="722"/>
      <c r="AA7" s="692"/>
      <c r="AB7" s="404"/>
      <c r="AC7" s="404"/>
      <c r="AE7" s="370"/>
      <c r="AF7" s="370"/>
      <c r="AG7" s="370"/>
      <c r="AH7" s="370"/>
      <c r="AI7" s="370"/>
      <c r="AJ7" s="370"/>
      <c r="AK7" s="370"/>
    </row>
    <row r="8" spans="1:37" ht="13.5" customHeight="1" x14ac:dyDescent="0.25">
      <c r="A8" s="395"/>
      <c r="B8" s="395"/>
      <c r="C8" s="1105" t="s">
        <v>217</v>
      </c>
      <c r="D8" s="1105"/>
      <c r="E8" s="1105"/>
      <c r="F8" s="1105"/>
      <c r="G8" s="1105"/>
      <c r="H8" s="408"/>
      <c r="I8" s="405"/>
      <c r="J8" s="405"/>
      <c r="K8" s="722"/>
      <c r="L8" s="722"/>
      <c r="M8" s="722"/>
      <c r="N8" s="722"/>
      <c r="O8" s="722"/>
      <c r="P8" s="722"/>
      <c r="Q8" s="722"/>
      <c r="R8" s="722"/>
      <c r="S8" s="722"/>
      <c r="T8" s="722"/>
      <c r="U8" s="722"/>
      <c r="V8" s="722"/>
      <c r="W8" s="722"/>
      <c r="X8" s="722"/>
      <c r="Y8" s="722"/>
      <c r="Z8" s="722"/>
      <c r="AA8" s="692"/>
      <c r="AB8" s="404"/>
      <c r="AC8" s="404"/>
      <c r="AE8" s="370"/>
      <c r="AF8" s="370"/>
      <c r="AG8" s="370"/>
      <c r="AH8" s="370"/>
      <c r="AI8" s="370"/>
      <c r="AJ8" s="370"/>
      <c r="AK8" s="370"/>
    </row>
    <row r="9" spans="1:37" ht="13.5" customHeight="1" x14ac:dyDescent="0.25">
      <c r="A9" s="395"/>
      <c r="B9" s="395"/>
      <c r="C9" s="1105"/>
      <c r="D9" s="1105"/>
      <c r="E9" s="1105"/>
      <c r="F9" s="1105"/>
      <c r="G9" s="1105"/>
      <c r="H9" s="395"/>
      <c r="I9" s="409"/>
      <c r="J9" s="410"/>
      <c r="K9" s="722"/>
      <c r="L9" s="722"/>
      <c r="M9" s="722"/>
      <c r="N9" s="722"/>
      <c r="O9" s="722"/>
      <c r="P9" s="722"/>
      <c r="Q9" s="722"/>
      <c r="R9" s="722"/>
      <c r="S9" s="722"/>
      <c r="T9" s="722"/>
      <c r="U9" s="722"/>
      <c r="V9" s="722"/>
      <c r="W9" s="722"/>
      <c r="X9" s="722"/>
      <c r="Y9" s="722"/>
      <c r="Z9" s="722"/>
      <c r="AA9" s="410"/>
      <c r="AB9" s="404"/>
      <c r="AC9" s="404"/>
      <c r="AE9" s="370"/>
      <c r="AF9" s="370"/>
      <c r="AG9" s="370"/>
      <c r="AH9" s="370"/>
      <c r="AI9" s="370"/>
      <c r="AJ9" s="370"/>
      <c r="AK9" s="370"/>
    </row>
    <row r="10" spans="1:37" ht="13.5" customHeight="1" x14ac:dyDescent="0.25">
      <c r="A10" s="395"/>
      <c r="B10" s="395"/>
      <c r="C10" s="724"/>
      <c r="D10" s="724"/>
      <c r="E10" s="724"/>
      <c r="F10" s="405"/>
      <c r="G10" s="724"/>
      <c r="H10" s="395"/>
      <c r="I10" s="409"/>
      <c r="J10" s="410"/>
      <c r="K10" s="722"/>
      <c r="L10" s="722"/>
      <c r="M10" s="722"/>
      <c r="N10" s="722"/>
      <c r="O10" s="722"/>
      <c r="P10" s="722"/>
      <c r="Q10" s="722"/>
      <c r="R10" s="722"/>
      <c r="S10" s="722"/>
      <c r="T10" s="722"/>
      <c r="U10" s="722"/>
      <c r="V10" s="722"/>
      <c r="W10" s="722"/>
      <c r="X10" s="722"/>
      <c r="Y10" s="722"/>
      <c r="Z10" s="722"/>
      <c r="AA10" s="410"/>
      <c r="AB10" s="404"/>
      <c r="AC10" s="404"/>
      <c r="AE10" s="247"/>
      <c r="AF10" s="119"/>
      <c r="AG10" s="119"/>
      <c r="AH10" s="119"/>
      <c r="AI10" s="119"/>
      <c r="AJ10" s="119"/>
      <c r="AK10" s="119"/>
    </row>
    <row r="11" spans="1:37" ht="13.5" customHeight="1" x14ac:dyDescent="0.25">
      <c r="A11" s="395"/>
      <c r="B11" s="395"/>
      <c r="C11" s="1110" t="s">
        <v>220</v>
      </c>
      <c r="D11" s="1110"/>
      <c r="E11" s="1110"/>
      <c r="F11" s="405"/>
      <c r="G11" s="725" t="s">
        <v>219</v>
      </c>
      <c r="H11" s="395"/>
      <c r="I11" s="409"/>
      <c r="J11" s="410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2"/>
      <c r="AA11" s="410"/>
      <c r="AB11" s="404"/>
      <c r="AC11" s="404"/>
      <c r="AE11" s="119"/>
      <c r="AF11" s="119"/>
      <c r="AG11" s="119"/>
      <c r="AH11" s="119"/>
      <c r="AI11" s="119"/>
      <c r="AJ11" s="119"/>
      <c r="AK11" s="119"/>
    </row>
    <row r="12" spans="1:37" ht="13.5" customHeight="1" x14ac:dyDescent="0.25">
      <c r="A12" s="395"/>
      <c r="B12" s="395"/>
      <c r="C12" s="1082">
        <v>2500</v>
      </c>
      <c r="D12" s="1012"/>
      <c r="E12" s="1013"/>
      <c r="F12" s="411"/>
      <c r="G12" s="1085">
        <v>300</v>
      </c>
      <c r="H12" s="395"/>
      <c r="I12" s="409"/>
      <c r="J12" s="395"/>
      <c r="K12" s="722"/>
      <c r="L12" s="722"/>
      <c r="M12" s="722"/>
      <c r="N12" s="722"/>
      <c r="O12" s="722"/>
      <c r="P12" s="722"/>
      <c r="Q12" s="722"/>
      <c r="R12" s="722"/>
      <c r="S12" s="722"/>
      <c r="T12" s="722"/>
      <c r="U12" s="722"/>
      <c r="V12" s="722"/>
      <c r="W12" s="722"/>
      <c r="X12" s="722"/>
      <c r="Y12" s="722"/>
      <c r="Z12" s="722"/>
      <c r="AA12" s="412"/>
      <c r="AB12" s="404"/>
      <c r="AC12" s="404"/>
      <c r="AE12" s="119"/>
      <c r="AF12" s="119"/>
      <c r="AG12" s="119"/>
      <c r="AH12" s="119"/>
      <c r="AI12" s="119"/>
      <c r="AJ12" s="119"/>
      <c r="AK12" s="119"/>
    </row>
    <row r="13" spans="1:37" ht="13.5" customHeight="1" x14ac:dyDescent="0.25">
      <c r="A13" s="395"/>
      <c r="B13" s="395"/>
      <c r="C13" s="1083"/>
      <c r="D13" s="1015"/>
      <c r="E13" s="1016"/>
      <c r="F13" s="413"/>
      <c r="G13" s="1086"/>
      <c r="H13" s="395"/>
      <c r="I13" s="409"/>
      <c r="J13" s="395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22"/>
      <c r="Y13" s="722"/>
      <c r="Z13" s="722"/>
      <c r="AA13" s="395"/>
      <c r="AB13" s="404"/>
      <c r="AC13" s="404"/>
      <c r="AE13" s="119"/>
      <c r="AF13" s="119"/>
      <c r="AG13" s="119"/>
      <c r="AH13" s="119"/>
      <c r="AI13" s="119"/>
      <c r="AJ13" s="119"/>
      <c r="AK13" s="119"/>
    </row>
    <row r="14" spans="1:37" ht="13.5" customHeight="1" x14ac:dyDescent="0.25">
      <c r="A14" s="395"/>
      <c r="B14" s="395"/>
      <c r="C14" s="1083"/>
      <c r="D14" s="1015"/>
      <c r="E14" s="1016"/>
      <c r="F14" s="414"/>
      <c r="G14" s="1086"/>
      <c r="H14" s="395"/>
      <c r="I14" s="409"/>
      <c r="J14" s="395"/>
      <c r="K14" s="722"/>
      <c r="L14" s="722"/>
      <c r="M14" s="722"/>
      <c r="N14" s="722"/>
      <c r="O14" s="722"/>
      <c r="P14" s="722"/>
      <c r="Q14" s="722"/>
      <c r="R14" s="722"/>
      <c r="S14" s="722"/>
      <c r="T14" s="722"/>
      <c r="U14" s="722"/>
      <c r="V14" s="722"/>
      <c r="W14" s="722"/>
      <c r="X14" s="722"/>
      <c r="Y14" s="722"/>
      <c r="Z14" s="722"/>
      <c r="AA14" s="415"/>
      <c r="AB14" s="404"/>
      <c r="AC14" s="404"/>
      <c r="AE14" s="119"/>
      <c r="AF14" s="119"/>
      <c r="AG14" s="119"/>
      <c r="AH14" s="119"/>
      <c r="AI14" s="119"/>
      <c r="AJ14" s="119"/>
      <c r="AK14" s="119"/>
    </row>
    <row r="15" spans="1:37" ht="13.5" customHeight="1" x14ac:dyDescent="0.25">
      <c r="A15" s="395"/>
      <c r="B15" s="395"/>
      <c r="C15" s="1084"/>
      <c r="D15" s="1018"/>
      <c r="E15" s="1019"/>
      <c r="F15" s="416"/>
      <c r="G15" s="1087"/>
      <c r="H15" s="395"/>
      <c r="I15" s="409"/>
      <c r="J15" s="395"/>
      <c r="K15" s="722"/>
      <c r="L15" s="722"/>
      <c r="M15" s="722"/>
      <c r="N15" s="722"/>
      <c r="O15" s="722"/>
      <c r="P15" s="722"/>
      <c r="Q15" s="722"/>
      <c r="R15" s="722"/>
      <c r="S15" s="722"/>
      <c r="T15" s="722"/>
      <c r="U15" s="722"/>
      <c r="V15" s="722"/>
      <c r="W15" s="722"/>
      <c r="X15" s="722"/>
      <c r="Y15" s="722"/>
      <c r="Z15" s="722"/>
      <c r="AA15" s="419"/>
      <c r="AB15" s="404"/>
      <c r="AC15" s="404"/>
      <c r="AE15" s="119"/>
      <c r="AF15" s="119"/>
      <c r="AG15" s="119"/>
      <c r="AH15" s="119"/>
      <c r="AI15" s="119"/>
      <c r="AJ15" s="119"/>
      <c r="AK15" s="119"/>
    </row>
    <row r="16" spans="1:37" ht="13.5" customHeight="1" x14ac:dyDescent="0.25">
      <c r="A16" s="395"/>
      <c r="B16" s="395"/>
      <c r="C16" s="1063" t="s">
        <v>122</v>
      </c>
      <c r="D16" s="1064"/>
      <c r="E16" s="1064"/>
      <c r="F16" s="1064"/>
      <c r="G16" s="1064"/>
      <c r="H16" s="420"/>
      <c r="I16" s="409"/>
      <c r="J16" s="420"/>
      <c r="K16" s="722"/>
      <c r="L16" s="722"/>
      <c r="M16" s="722"/>
      <c r="N16" s="722"/>
      <c r="O16" s="722"/>
      <c r="P16" s="722"/>
      <c r="Q16" s="722"/>
      <c r="R16" s="722"/>
      <c r="S16" s="722"/>
      <c r="T16" s="722"/>
      <c r="U16" s="722"/>
      <c r="V16" s="722"/>
      <c r="W16" s="722"/>
      <c r="X16" s="722"/>
      <c r="Y16" s="722"/>
      <c r="Z16" s="722"/>
      <c r="AA16" s="422"/>
      <c r="AB16" s="404"/>
      <c r="AC16" s="404"/>
      <c r="AE16" s="119"/>
      <c r="AF16" s="119"/>
      <c r="AG16" s="119"/>
      <c r="AH16" s="119"/>
      <c r="AI16" s="119"/>
      <c r="AJ16" s="119"/>
      <c r="AK16" s="119"/>
    </row>
    <row r="17" spans="1:37" ht="13.5" customHeight="1" x14ac:dyDescent="0.25">
      <c r="A17" s="395"/>
      <c r="B17" s="395"/>
      <c r="C17" s="1065"/>
      <c r="D17" s="1065"/>
      <c r="E17" s="1065"/>
      <c r="F17" s="1065"/>
      <c r="G17" s="1065"/>
      <c r="H17" s="395"/>
      <c r="I17" s="409"/>
      <c r="J17" s="395"/>
      <c r="K17" s="722"/>
      <c r="L17" s="722"/>
      <c r="M17" s="722"/>
      <c r="N17" s="722"/>
      <c r="O17" s="722"/>
      <c r="P17" s="722"/>
      <c r="Q17" s="722"/>
      <c r="R17" s="722"/>
      <c r="S17" s="722"/>
      <c r="T17" s="722"/>
      <c r="U17" s="722"/>
      <c r="V17" s="722"/>
      <c r="W17" s="722"/>
      <c r="X17" s="722"/>
      <c r="Y17" s="722"/>
      <c r="Z17" s="722"/>
      <c r="AA17" s="422"/>
      <c r="AB17" s="404"/>
      <c r="AC17" s="404"/>
      <c r="AE17" s="119"/>
      <c r="AF17" s="119"/>
      <c r="AG17" s="119"/>
      <c r="AH17" s="119"/>
      <c r="AI17" s="119"/>
      <c r="AJ17" s="119"/>
      <c r="AK17" s="119"/>
    </row>
    <row r="18" spans="1:37" ht="13.5" customHeight="1" x14ac:dyDescent="0.25">
      <c r="A18" s="395"/>
      <c r="B18" s="395"/>
      <c r="C18" s="1069" t="s">
        <v>139</v>
      </c>
      <c r="D18" s="1070"/>
      <c r="E18" s="1071" t="s">
        <v>200</v>
      </c>
      <c r="F18" s="1071"/>
      <c r="G18" s="1072"/>
      <c r="H18" s="395"/>
      <c r="I18" s="409"/>
      <c r="J18" s="395"/>
      <c r="K18" s="722"/>
      <c r="L18" s="722"/>
      <c r="M18" s="722"/>
      <c r="N18" s="722"/>
      <c r="O18" s="722"/>
      <c r="P18" s="722"/>
      <c r="Q18" s="722"/>
      <c r="R18" s="722"/>
      <c r="S18" s="722"/>
      <c r="T18" s="722"/>
      <c r="U18" s="722"/>
      <c r="V18" s="722"/>
      <c r="W18" s="722"/>
      <c r="X18" s="722"/>
      <c r="Y18" s="722"/>
      <c r="Z18" s="722"/>
      <c r="AA18" s="422"/>
      <c r="AB18" s="404"/>
      <c r="AC18" s="404"/>
      <c r="AE18" s="119"/>
      <c r="AF18" s="119"/>
      <c r="AG18" s="119"/>
      <c r="AH18" s="119"/>
      <c r="AI18" s="119"/>
      <c r="AJ18" s="119"/>
      <c r="AK18" s="119"/>
    </row>
    <row r="19" spans="1:37" ht="13.5" customHeight="1" x14ac:dyDescent="0.25">
      <c r="A19" s="395"/>
      <c r="B19" s="395"/>
      <c r="C19" s="1051"/>
      <c r="D19" s="1052"/>
      <c r="E19" s="1073"/>
      <c r="F19" s="1073"/>
      <c r="G19" s="1074"/>
      <c r="H19" s="418"/>
      <c r="I19" s="409"/>
      <c r="J19" s="418"/>
      <c r="K19" s="722"/>
      <c r="L19" s="722"/>
      <c r="M19" s="722"/>
      <c r="N19" s="722"/>
      <c r="O19" s="722"/>
      <c r="P19" s="722"/>
      <c r="Q19" s="722"/>
      <c r="R19" s="722"/>
      <c r="S19" s="722"/>
      <c r="T19" s="722"/>
      <c r="U19" s="722"/>
      <c r="V19" s="722"/>
      <c r="W19" s="722"/>
      <c r="X19" s="722"/>
      <c r="Y19" s="722"/>
      <c r="Z19" s="722"/>
      <c r="AA19" s="422"/>
      <c r="AB19" s="404"/>
      <c r="AC19" s="404"/>
      <c r="AE19" s="119"/>
      <c r="AF19" s="119"/>
      <c r="AG19" s="119"/>
      <c r="AH19" s="119"/>
      <c r="AI19" s="119"/>
      <c r="AJ19" s="119"/>
      <c r="AK19" s="119"/>
    </row>
    <row r="20" spans="1:37" ht="13.5" customHeight="1" x14ac:dyDescent="0.25">
      <c r="A20" s="395"/>
      <c r="B20" s="426"/>
      <c r="C20" s="1051" t="s">
        <v>140</v>
      </c>
      <c r="D20" s="1052"/>
      <c r="E20" s="1052" t="s">
        <v>199</v>
      </c>
      <c r="F20" s="1052"/>
      <c r="G20" s="1055"/>
      <c r="H20" s="412"/>
      <c r="I20" s="409"/>
      <c r="J20" s="41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22"/>
      <c r="Y20" s="722"/>
      <c r="Z20" s="722"/>
      <c r="AA20" s="422"/>
      <c r="AB20" s="404"/>
      <c r="AC20" s="404"/>
      <c r="AE20" s="119"/>
      <c r="AF20" s="119"/>
      <c r="AG20" s="119"/>
      <c r="AH20" s="119"/>
      <c r="AI20" s="119"/>
      <c r="AJ20" s="119"/>
      <c r="AK20" s="119"/>
    </row>
    <row r="21" spans="1:37" ht="13.5" customHeight="1" x14ac:dyDescent="0.25">
      <c r="A21" s="395"/>
      <c r="B21" s="426"/>
      <c r="C21" s="1053"/>
      <c r="D21" s="1054"/>
      <c r="E21" s="1054"/>
      <c r="F21" s="1054"/>
      <c r="G21" s="1056"/>
      <c r="H21" s="395"/>
      <c r="I21" s="409"/>
      <c r="J21" s="395"/>
      <c r="K21" s="722"/>
      <c r="L21" s="722"/>
      <c r="M21" s="722"/>
      <c r="N21" s="722"/>
      <c r="O21" s="722"/>
      <c r="P21" s="722"/>
      <c r="Q21" s="722"/>
      <c r="R21" s="722"/>
      <c r="S21" s="722"/>
      <c r="T21" s="722"/>
      <c r="U21" s="722"/>
      <c r="V21" s="722"/>
      <c r="W21" s="722"/>
      <c r="X21" s="722"/>
      <c r="Y21" s="722"/>
      <c r="Z21" s="722"/>
      <c r="AA21" s="422"/>
      <c r="AB21" s="404"/>
      <c r="AC21" s="404"/>
      <c r="AE21" s="119"/>
      <c r="AF21" s="119"/>
      <c r="AG21" s="119"/>
      <c r="AH21" s="119"/>
      <c r="AI21" s="119"/>
      <c r="AJ21" s="119"/>
      <c r="AK21" s="119"/>
    </row>
    <row r="22" spans="1:37" ht="13.5" customHeight="1" x14ac:dyDescent="0.25">
      <c r="A22" s="395"/>
      <c r="B22" s="395"/>
      <c r="C22" s="1106" t="s">
        <v>221</v>
      </c>
      <c r="D22" s="1106"/>
      <c r="E22" s="1106"/>
      <c r="F22" s="1108" t="s">
        <v>85</v>
      </c>
      <c r="G22" s="1108"/>
      <c r="H22" s="395"/>
      <c r="I22" s="409"/>
      <c r="J22" s="395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2"/>
      <c r="Z22" s="722"/>
      <c r="AA22" s="395"/>
      <c r="AB22" s="404"/>
      <c r="AC22" s="404"/>
      <c r="AE22" s="119"/>
      <c r="AF22" s="119"/>
      <c r="AG22" s="119"/>
      <c r="AH22" s="119"/>
      <c r="AI22" s="119"/>
      <c r="AJ22" s="119"/>
      <c r="AK22" s="119"/>
    </row>
    <row r="23" spans="1:37" ht="13.5" customHeight="1" x14ac:dyDescent="0.25">
      <c r="A23" s="395"/>
      <c r="B23" s="395"/>
      <c r="C23" s="1107"/>
      <c r="D23" s="1107"/>
      <c r="E23" s="1107"/>
      <c r="F23" s="1109"/>
      <c r="G23" s="1109"/>
      <c r="H23" s="393"/>
      <c r="I23" s="409"/>
      <c r="J23" s="393"/>
      <c r="K23" s="722"/>
      <c r="L23" s="722"/>
      <c r="M23" s="722"/>
      <c r="N23" s="722"/>
      <c r="O23" s="722"/>
      <c r="P23" s="722"/>
      <c r="Q23" s="722"/>
      <c r="R23" s="722"/>
      <c r="S23" s="722"/>
      <c r="T23" s="722"/>
      <c r="U23" s="722"/>
      <c r="V23" s="722"/>
      <c r="W23" s="722"/>
      <c r="X23" s="722"/>
      <c r="Y23" s="722"/>
      <c r="Z23" s="722"/>
      <c r="AA23" s="395"/>
      <c r="AB23" s="404"/>
      <c r="AC23" s="404"/>
    </row>
    <row r="24" spans="1:37" ht="13.5" customHeight="1" x14ac:dyDescent="0.25">
      <c r="A24" s="395"/>
      <c r="B24" s="395"/>
      <c r="C24" s="1043" t="str">
        <f xml:space="preserve"> IF(M418=1,M419, IF(M418=2,M420, IF(M418=3,M421)))</f>
        <v>Monthly Payments</v>
      </c>
      <c r="D24" s="1044"/>
      <c r="E24" s="1044"/>
      <c r="F24" s="1044"/>
      <c r="G24" s="1049">
        <f xml:space="preserve"> IF(M418=1,O421*12/52, IF(M418=2,O421*12/52*2, IF(M418=3,O421)))</f>
        <v>90.09</v>
      </c>
      <c r="H24" s="393"/>
      <c r="I24" s="409"/>
      <c r="J24" s="393"/>
      <c r="K24" s="722"/>
      <c r="L24" s="722"/>
      <c r="M24" s="722"/>
      <c r="N24" s="722"/>
      <c r="O24" s="722"/>
      <c r="P24" s="722"/>
      <c r="Q24" s="722"/>
      <c r="R24" s="722"/>
      <c r="S24" s="722"/>
      <c r="T24" s="722"/>
      <c r="U24" s="722"/>
      <c r="V24" s="722"/>
      <c r="W24" s="722"/>
      <c r="X24" s="722"/>
      <c r="Y24" s="722"/>
      <c r="Z24" s="722"/>
      <c r="AA24" s="395"/>
      <c r="AB24" s="404"/>
      <c r="AC24" s="404"/>
    </row>
    <row r="25" spans="1:37" ht="13.5" customHeight="1" x14ac:dyDescent="0.25">
      <c r="A25" s="395"/>
      <c r="B25" s="395"/>
      <c r="C25" s="1045"/>
      <c r="D25" s="1046"/>
      <c r="E25" s="1046"/>
      <c r="F25" s="1046"/>
      <c r="G25" s="1050"/>
      <c r="H25" s="412"/>
      <c r="I25" s="409"/>
      <c r="J25" s="41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  <c r="W25" s="722"/>
      <c r="X25" s="722"/>
      <c r="Y25" s="722"/>
      <c r="Z25" s="722"/>
      <c r="AA25" s="395"/>
      <c r="AB25" s="404"/>
      <c r="AC25" s="404"/>
    </row>
    <row r="26" spans="1:37" ht="13.5" customHeight="1" x14ac:dyDescent="0.25">
      <c r="A26" s="395"/>
      <c r="B26" s="395"/>
      <c r="C26" s="1043" t="s">
        <v>228</v>
      </c>
      <c r="D26" s="1044"/>
      <c r="E26" s="1044"/>
      <c r="F26" s="1044"/>
      <c r="G26" s="1049">
        <f>$D$415</f>
        <v>1142.6400000000001</v>
      </c>
      <c r="H26" s="412"/>
      <c r="I26" s="409"/>
      <c r="J26" s="412"/>
      <c r="K26" s="722"/>
      <c r="L26" s="722"/>
      <c r="M26" s="722"/>
      <c r="N26" s="722"/>
      <c r="O26" s="722"/>
      <c r="P26" s="722"/>
      <c r="Q26" s="722"/>
      <c r="R26" s="722"/>
      <c r="S26" s="722"/>
      <c r="T26" s="722"/>
      <c r="U26" s="722"/>
      <c r="V26" s="722"/>
      <c r="W26" s="722"/>
      <c r="X26" s="722"/>
      <c r="Y26" s="722"/>
      <c r="Z26" s="722"/>
      <c r="AA26" s="395"/>
      <c r="AB26" s="404"/>
      <c r="AC26" s="404"/>
    </row>
    <row r="27" spans="1:37" ht="13.5" customHeight="1" x14ac:dyDescent="0.25">
      <c r="A27" s="395"/>
      <c r="B27" s="395"/>
      <c r="C27" s="1045"/>
      <c r="D27" s="1046"/>
      <c r="E27" s="1046"/>
      <c r="F27" s="1046"/>
      <c r="G27" s="1050"/>
      <c r="H27" s="427"/>
      <c r="I27" s="409"/>
      <c r="J27" s="427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428"/>
      <c r="AB27" s="404"/>
      <c r="AC27" s="404"/>
    </row>
    <row r="28" spans="1:37" ht="13.5" customHeight="1" x14ac:dyDescent="0.25">
      <c r="A28" s="395"/>
      <c r="B28" s="395"/>
      <c r="C28" s="1043" t="str">
        <f>IF(F432&lt;3,"N/A",IF(F432&gt;2,"Subsidised Rate and Interest Total"))</f>
        <v>Subsidised Rate and Interest Total</v>
      </c>
      <c r="D28" s="1044"/>
      <c r="E28" s="1044"/>
      <c r="F28" s="1047">
        <f>IF(F432=1,"N/A",IF(F432=2,"N/A",IF(F432=3,"0%",G434)))</f>
        <v>0.2404</v>
      </c>
      <c r="G28" s="1049">
        <f>IF(F432&lt;4,"N/A",F415)</f>
        <v>734.04</v>
      </c>
      <c r="H28" s="395"/>
      <c r="I28" s="409"/>
      <c r="J28" s="395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395"/>
      <c r="AB28" s="404"/>
      <c r="AC28" s="404"/>
    </row>
    <row r="29" spans="1:37" ht="13.5" customHeight="1" x14ac:dyDescent="0.25">
      <c r="A29" s="395"/>
      <c r="B29" s="395"/>
      <c r="C29" s="1045"/>
      <c r="D29" s="1046"/>
      <c r="E29" s="1046"/>
      <c r="F29" s="1048"/>
      <c r="G29" s="1050"/>
      <c r="H29" s="395"/>
      <c r="I29" s="409"/>
      <c r="J29" s="395"/>
      <c r="K29" s="722"/>
      <c r="L29" s="722"/>
      <c r="M29" s="722"/>
      <c r="N29" s="722"/>
      <c r="O29" s="722"/>
      <c r="P29" s="722"/>
      <c r="Q29" s="722"/>
      <c r="R29" s="722"/>
      <c r="S29" s="722"/>
      <c r="T29" s="722"/>
      <c r="U29" s="722"/>
      <c r="V29" s="722"/>
      <c r="W29" s="722"/>
      <c r="X29" s="722"/>
      <c r="Y29" s="722"/>
      <c r="Z29" s="722"/>
      <c r="AA29" s="395"/>
      <c r="AB29" s="404"/>
      <c r="AC29" s="404"/>
    </row>
    <row r="30" spans="1:37" ht="13.5" customHeight="1" x14ac:dyDescent="0.25">
      <c r="A30" s="395"/>
      <c r="B30" s="395"/>
      <c r="C30" s="1043" t="str">
        <f>IF(F432&gt;2,"Interest Savings (Your Client Saves)","N/A")</f>
        <v>Interest Savings (Your Client Saves)</v>
      </c>
      <c r="D30" s="1044"/>
      <c r="E30" s="1044"/>
      <c r="F30" s="1044"/>
      <c r="G30" s="1049">
        <f>IF(F432&gt;2,$G$440,"N/A")</f>
        <v>408.6</v>
      </c>
      <c r="H30" s="395"/>
      <c r="I30" s="409"/>
      <c r="J30" s="395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395"/>
      <c r="AB30" s="404"/>
      <c r="AC30" s="404"/>
    </row>
    <row r="31" spans="1:37" ht="13.5" customHeight="1" x14ac:dyDescent="0.25">
      <c r="A31" s="395"/>
      <c r="B31" s="395"/>
      <c r="C31" s="1045"/>
      <c r="D31" s="1046"/>
      <c r="E31" s="1046"/>
      <c r="F31" s="1046"/>
      <c r="G31" s="1050"/>
      <c r="H31" s="395"/>
      <c r="I31" s="409"/>
      <c r="J31" s="395"/>
      <c r="K31" s="722"/>
      <c r="L31" s="722"/>
      <c r="M31" s="722"/>
      <c r="N31" s="722"/>
      <c r="O31" s="722"/>
      <c r="P31" s="722"/>
      <c r="Q31" s="722"/>
      <c r="R31" s="722"/>
      <c r="S31" s="722"/>
      <c r="T31" s="722"/>
      <c r="U31" s="722"/>
      <c r="V31" s="722"/>
      <c r="W31" s="722"/>
      <c r="X31" s="722"/>
      <c r="Y31" s="722"/>
      <c r="Z31" s="722"/>
      <c r="AA31" s="395"/>
      <c r="AB31" s="404"/>
      <c r="AC31" s="404"/>
    </row>
    <row r="32" spans="1:37" ht="13.5" customHeight="1" x14ac:dyDescent="0.25">
      <c r="A32" s="395"/>
      <c r="B32" s="395"/>
      <c r="C32" s="1041" t="s">
        <v>218</v>
      </c>
      <c r="D32" s="1041"/>
      <c r="E32" s="1041"/>
      <c r="F32" s="1041"/>
      <c r="G32" s="1041"/>
      <c r="H32" s="395"/>
      <c r="I32" s="409"/>
      <c r="J32" s="395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22"/>
      <c r="AA32" s="395"/>
      <c r="AB32" s="404"/>
      <c r="AC32" s="404"/>
    </row>
    <row r="33" spans="1:29" ht="13.5" customHeight="1" x14ac:dyDescent="0.25">
      <c r="A33" s="395"/>
      <c r="B33" s="395"/>
      <c r="C33" s="1041"/>
      <c r="D33" s="1041"/>
      <c r="E33" s="1041"/>
      <c r="F33" s="1041"/>
      <c r="G33" s="1041"/>
      <c r="H33" s="395"/>
      <c r="I33" s="409"/>
      <c r="J33" s="395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395"/>
      <c r="AB33" s="404"/>
      <c r="AC33" s="404"/>
    </row>
    <row r="34" spans="1:29" ht="13.5" customHeight="1" x14ac:dyDescent="0.25">
      <c r="A34" s="395"/>
      <c r="B34" s="395"/>
      <c r="C34" s="1022" t="str">
        <f>C443</f>
        <v>Purchase Price - Deposit</v>
      </c>
      <c r="D34" s="1022"/>
      <c r="E34" s="1022"/>
      <c r="F34" s="1022"/>
      <c r="G34" s="1042">
        <f>G443</f>
        <v>2200</v>
      </c>
      <c r="H34" s="395"/>
      <c r="I34" s="409"/>
      <c r="J34" s="395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395"/>
      <c r="AB34" s="404"/>
      <c r="AC34" s="404"/>
    </row>
    <row r="35" spans="1:29" ht="13.5" customHeight="1" x14ac:dyDescent="0.25">
      <c r="A35" s="395"/>
      <c r="B35" s="395"/>
      <c r="C35" s="1022"/>
      <c r="D35" s="1022"/>
      <c r="E35" s="1022"/>
      <c r="F35" s="1022"/>
      <c r="G35" s="1042"/>
      <c r="H35" s="395"/>
      <c r="I35" s="409"/>
      <c r="J35" s="395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22"/>
      <c r="AA35" s="395"/>
      <c r="AB35" s="404"/>
      <c r="AC35" s="404"/>
    </row>
    <row r="36" spans="1:29" ht="13.5" customHeight="1" x14ac:dyDescent="0.25">
      <c r="A36" s="395"/>
      <c r="B36" s="395"/>
      <c r="C36" s="1032" t="str">
        <f>C445</f>
        <v>No Rebate or Retention</v>
      </c>
      <c r="D36" s="1032"/>
      <c r="E36" s="1032"/>
      <c r="F36" s="1032"/>
      <c r="G36" s="1033">
        <f>G445</f>
        <v>0</v>
      </c>
      <c r="H36" s="395"/>
      <c r="I36" s="409"/>
      <c r="J36" s="395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395"/>
      <c r="AB36" s="404"/>
      <c r="AC36" s="404"/>
    </row>
    <row r="37" spans="1:29" ht="13.5" customHeight="1" x14ac:dyDescent="0.25">
      <c r="A37" s="395"/>
      <c r="B37" s="395"/>
      <c r="C37" s="1032"/>
      <c r="D37" s="1032"/>
      <c r="E37" s="1032"/>
      <c r="F37" s="1032"/>
      <c r="G37" s="1033"/>
      <c r="H37" s="395"/>
      <c r="I37" s="409"/>
      <c r="J37" s="395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2"/>
      <c r="Y37" s="722"/>
      <c r="Z37" s="722"/>
      <c r="AA37" s="395"/>
      <c r="AB37" s="404"/>
      <c r="AC37" s="404"/>
    </row>
    <row r="38" spans="1:29" ht="13.5" customHeight="1" x14ac:dyDescent="0.25">
      <c r="A38" s="395"/>
      <c r="B38" s="395"/>
      <c r="C38" s="1032" t="str">
        <f>C447</f>
        <v>No Rebate or Retention</v>
      </c>
      <c r="D38" s="1032"/>
      <c r="E38" s="1032"/>
      <c r="F38" s="1032"/>
      <c r="G38" s="1040">
        <f>G447</f>
        <v>0</v>
      </c>
      <c r="H38" s="395"/>
      <c r="I38" s="409"/>
      <c r="J38" s="395"/>
      <c r="K38" s="722"/>
      <c r="L38" s="722"/>
      <c r="M38" s="722"/>
      <c r="N38" s="722"/>
      <c r="O38" s="722"/>
      <c r="P38" s="722"/>
      <c r="Q38" s="722"/>
      <c r="R38" s="722"/>
      <c r="S38" s="722"/>
      <c r="T38" s="722"/>
      <c r="U38" s="722"/>
      <c r="V38" s="722"/>
      <c r="W38" s="722"/>
      <c r="X38" s="722"/>
      <c r="Y38" s="722"/>
      <c r="Z38" s="722"/>
      <c r="AA38" s="395"/>
      <c r="AB38" s="404"/>
      <c r="AC38" s="404"/>
    </row>
    <row r="39" spans="1:29" ht="13.5" customHeight="1" x14ac:dyDescent="0.25">
      <c r="A39" s="395"/>
      <c r="B39" s="395"/>
      <c r="C39" s="1032"/>
      <c r="D39" s="1032"/>
      <c r="E39" s="1032"/>
      <c r="F39" s="1032"/>
      <c r="G39" s="1040"/>
      <c r="H39" s="395"/>
      <c r="I39" s="409"/>
      <c r="J39" s="395"/>
      <c r="K39" s="722"/>
      <c r="L39" s="722"/>
      <c r="M39" s="722"/>
      <c r="N39" s="722"/>
      <c r="O39" s="722"/>
      <c r="P39" s="722"/>
      <c r="Q39" s="722"/>
      <c r="R39" s="722"/>
      <c r="S39" s="722"/>
      <c r="T39" s="722"/>
      <c r="U39" s="722"/>
      <c r="V39" s="722"/>
      <c r="W39" s="722"/>
      <c r="X39" s="722"/>
      <c r="Y39" s="722"/>
      <c r="Z39" s="722"/>
      <c r="AA39" s="395"/>
      <c r="AB39" s="404"/>
      <c r="AC39" s="404"/>
    </row>
    <row r="40" spans="1:29" ht="13.5" customHeight="1" x14ac:dyDescent="0.25">
      <c r="A40" s="395"/>
      <c r="B40" s="395"/>
      <c r="C40" s="1022" t="str">
        <f>C449</f>
        <v>Total Payable to your Bank Account</v>
      </c>
      <c r="D40" s="1022"/>
      <c r="E40" s="1022"/>
      <c r="F40" s="1022"/>
      <c r="G40" s="1023">
        <f>G449</f>
        <v>2200</v>
      </c>
      <c r="H40" s="395"/>
      <c r="I40" s="409"/>
      <c r="J40" s="395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2"/>
      <c r="AA40" s="395"/>
      <c r="AB40" s="404"/>
      <c r="AC40" s="404"/>
    </row>
    <row r="41" spans="1:29" ht="14.4" customHeight="1" x14ac:dyDescent="0.25">
      <c r="A41" s="395"/>
      <c r="B41" s="395"/>
      <c r="C41" s="1022"/>
      <c r="D41" s="1022"/>
      <c r="E41" s="1022"/>
      <c r="F41" s="1022"/>
      <c r="G41" s="1023"/>
      <c r="H41" s="395"/>
      <c r="I41" s="409"/>
      <c r="J41" s="395"/>
      <c r="K41" s="722"/>
      <c r="L41" s="722"/>
      <c r="M41" s="722"/>
      <c r="N41" s="722"/>
      <c r="O41" s="722"/>
      <c r="P41" s="722"/>
      <c r="Q41" s="722"/>
      <c r="R41" s="722"/>
      <c r="S41" s="722"/>
      <c r="T41" s="722"/>
      <c r="U41" s="722"/>
      <c r="V41" s="722"/>
      <c r="W41" s="722"/>
      <c r="X41" s="722"/>
      <c r="Y41" s="722"/>
      <c r="Z41" s="722"/>
      <c r="AA41" s="395"/>
      <c r="AB41" s="404"/>
      <c r="AC41" s="404"/>
    </row>
    <row r="42" spans="1:29" ht="15.6" customHeight="1" x14ac:dyDescent="0.25">
      <c r="A42" s="395"/>
      <c r="B42" s="395"/>
      <c r="C42" s="1026" t="s">
        <v>120</v>
      </c>
      <c r="D42" s="1026"/>
      <c r="E42" s="1026"/>
      <c r="F42" s="1026"/>
      <c r="G42" s="1026"/>
      <c r="H42" s="395"/>
      <c r="I42" s="409"/>
      <c r="J42" s="395"/>
      <c r="K42" s="1028"/>
      <c r="L42" s="1028"/>
      <c r="M42" s="1028"/>
      <c r="N42" s="1028"/>
      <c r="O42" s="1028"/>
      <c r="P42" s="1028"/>
      <c r="Q42" s="1028"/>
      <c r="R42" s="1030"/>
      <c r="S42" s="1030"/>
      <c r="T42" s="1030"/>
      <c r="U42" s="1030"/>
      <c r="V42" s="1030"/>
      <c r="W42" s="1030"/>
      <c r="X42" s="1030"/>
      <c r="Y42" s="1030"/>
      <c r="Z42" s="1030"/>
      <c r="AA42" s="429"/>
      <c r="AB42" s="404"/>
      <c r="AC42" s="404"/>
    </row>
    <row r="43" spans="1:29" ht="12" customHeight="1" x14ac:dyDescent="0.25">
      <c r="A43" s="395"/>
      <c r="B43" s="395"/>
      <c r="C43" s="1031" t="s">
        <v>223</v>
      </c>
      <c r="D43" s="1031"/>
      <c r="E43" s="1031"/>
      <c r="F43" s="430" t="s">
        <v>97</v>
      </c>
      <c r="G43" s="727"/>
      <c r="H43" s="395"/>
      <c r="I43" s="409"/>
      <c r="J43" s="395"/>
      <c r="K43" s="1028"/>
      <c r="L43" s="1028"/>
      <c r="M43" s="1028"/>
      <c r="N43" s="1028"/>
      <c r="O43" s="1028"/>
      <c r="P43" s="1028"/>
      <c r="Q43" s="1028"/>
      <c r="R43" s="1030"/>
      <c r="S43" s="1030"/>
      <c r="T43" s="1030"/>
      <c r="U43" s="1030"/>
      <c r="V43" s="1030"/>
      <c r="W43" s="1030"/>
      <c r="X43" s="1030"/>
      <c r="Y43" s="1030"/>
      <c r="Z43" s="1030"/>
      <c r="AA43" s="429"/>
      <c r="AB43" s="404"/>
      <c r="AC43" s="404"/>
    </row>
    <row r="44" spans="1:29" ht="8.4" customHeight="1" x14ac:dyDescent="0.25">
      <c r="A44" s="395"/>
      <c r="B44" s="395"/>
      <c r="C44" s="695"/>
      <c r="D44" s="695"/>
      <c r="E44" s="695"/>
      <c r="F44" s="430"/>
      <c r="G44" s="727"/>
      <c r="H44" s="395"/>
      <c r="I44" s="409"/>
      <c r="J44" s="395"/>
      <c r="K44" s="693"/>
      <c r="L44" s="693"/>
      <c r="M44" s="693"/>
      <c r="N44" s="693"/>
      <c r="O44" s="693"/>
      <c r="P44" s="693"/>
      <c r="Q44" s="693"/>
      <c r="R44" s="694"/>
      <c r="S44" s="694"/>
      <c r="T44" s="728"/>
      <c r="U44" s="738"/>
      <c r="V44" s="694"/>
      <c r="W44" s="694"/>
      <c r="X44" s="694"/>
      <c r="Y44" s="694"/>
      <c r="Z44" s="694"/>
      <c r="AA44" s="429"/>
      <c r="AB44" s="404"/>
      <c r="AC44" s="404"/>
    </row>
    <row r="45" spans="1:29" ht="13.5" customHeight="1" x14ac:dyDescent="0.25">
      <c r="A45" s="395"/>
      <c r="B45" s="395"/>
      <c r="C45" s="1094" t="s">
        <v>222</v>
      </c>
      <c r="D45" s="1095"/>
      <c r="E45" s="1095"/>
      <c r="F45" s="1095"/>
      <c r="G45" s="1095"/>
      <c r="H45" s="395"/>
      <c r="I45" s="409"/>
      <c r="J45" s="395"/>
      <c r="K45" s="693"/>
      <c r="L45" s="693"/>
      <c r="M45" s="693"/>
      <c r="N45" s="693"/>
      <c r="O45" s="693"/>
      <c r="P45" s="693"/>
      <c r="Q45" s="693"/>
      <c r="R45" s="694"/>
      <c r="S45" s="694"/>
      <c r="T45" s="728"/>
      <c r="U45" s="738"/>
      <c r="V45" s="694"/>
      <c r="W45" s="694"/>
      <c r="X45" s="694"/>
      <c r="Y45" s="694"/>
      <c r="Z45" s="694"/>
      <c r="AA45" s="429"/>
      <c r="AB45" s="404"/>
      <c r="AC45" s="404"/>
    </row>
    <row r="46" spans="1:29" ht="18" customHeight="1" x14ac:dyDescent="0.25">
      <c r="A46" s="395"/>
      <c r="B46" s="395"/>
      <c r="C46" s="1095"/>
      <c r="D46" s="1095"/>
      <c r="E46" s="1095"/>
      <c r="F46" s="1095"/>
      <c r="G46" s="1095"/>
      <c r="H46" s="726"/>
      <c r="I46" s="726"/>
      <c r="J46" s="726"/>
      <c r="K46" s="726"/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26"/>
      <c r="Z46" s="726"/>
      <c r="AA46" s="726"/>
      <c r="AB46" s="404"/>
      <c r="AC46" s="404"/>
    </row>
    <row r="47" spans="1:29" ht="12.75" customHeight="1" x14ac:dyDescent="0.25">
      <c r="A47" s="395"/>
      <c r="B47" s="395"/>
      <c r="C47" s="417"/>
      <c r="D47" s="412"/>
      <c r="E47" s="395"/>
      <c r="F47" s="412"/>
      <c r="G47" s="412"/>
      <c r="H47" s="412"/>
      <c r="I47" s="412"/>
      <c r="J47" s="412"/>
      <c r="K47" s="404"/>
      <c r="L47" s="404"/>
      <c r="M47" s="404"/>
      <c r="N47" s="404"/>
      <c r="O47" s="404"/>
      <c r="P47" s="404"/>
      <c r="Q47" s="404"/>
      <c r="R47" s="404"/>
      <c r="S47" s="395"/>
      <c r="T47" s="395"/>
      <c r="U47" s="395"/>
      <c r="V47" s="404"/>
      <c r="W47" s="404"/>
      <c r="X47" s="404"/>
      <c r="Y47" s="404"/>
      <c r="Z47" s="432"/>
      <c r="AA47" s="404"/>
      <c r="AB47" s="404"/>
      <c r="AC47" s="404"/>
    </row>
    <row r="48" spans="1:29" ht="12.75" customHeight="1" x14ac:dyDescent="0.25">
      <c r="A48" s="395"/>
      <c r="B48" s="395"/>
      <c r="C48" s="417"/>
      <c r="D48" s="412"/>
      <c r="E48" s="395"/>
      <c r="F48" s="412"/>
      <c r="G48" s="412"/>
      <c r="H48" s="412"/>
      <c r="I48" s="412"/>
      <c r="J48" s="412"/>
      <c r="K48" s="404"/>
      <c r="L48" s="404"/>
      <c r="M48" s="404"/>
      <c r="N48" s="404"/>
      <c r="O48" s="404"/>
      <c r="P48" s="404"/>
      <c r="Q48" s="404"/>
      <c r="R48" s="404"/>
      <c r="S48" s="395"/>
      <c r="T48" s="395"/>
      <c r="U48" s="395"/>
      <c r="V48" s="404"/>
      <c r="W48" s="404"/>
      <c r="X48" s="404"/>
      <c r="Y48" s="404"/>
      <c r="Z48" s="432"/>
      <c r="AA48" s="404"/>
      <c r="AB48" s="404"/>
      <c r="AC48" s="404"/>
    </row>
    <row r="49" spans="1:29" ht="12.75" customHeight="1" x14ac:dyDescent="0.25">
      <c r="A49" s="395"/>
      <c r="B49" s="395"/>
      <c r="C49" s="417"/>
      <c r="D49" s="412"/>
      <c r="E49" s="395"/>
      <c r="F49" s="412"/>
      <c r="G49" s="412"/>
      <c r="H49" s="412"/>
      <c r="I49" s="412"/>
      <c r="J49" s="412"/>
      <c r="K49" s="404"/>
      <c r="L49" s="404"/>
      <c r="M49" s="404"/>
      <c r="N49" s="404"/>
      <c r="O49" s="404"/>
      <c r="P49" s="404"/>
      <c r="Q49" s="404"/>
      <c r="R49" s="404"/>
      <c r="S49" s="395"/>
      <c r="T49" s="395"/>
      <c r="U49" s="395"/>
      <c r="V49" s="404"/>
      <c r="W49" s="404"/>
      <c r="X49" s="404"/>
      <c r="Y49" s="404"/>
      <c r="Z49" s="432"/>
      <c r="AA49" s="404"/>
      <c r="AB49" s="404"/>
      <c r="AC49" s="404"/>
    </row>
    <row r="50" spans="1:29" ht="12.75" customHeight="1" x14ac:dyDescent="0.25">
      <c r="A50" s="395"/>
      <c r="B50" s="395"/>
      <c r="C50" s="417"/>
      <c r="D50" s="412"/>
      <c r="E50" s="395"/>
      <c r="F50" s="412"/>
      <c r="G50" s="412"/>
      <c r="H50" s="412"/>
      <c r="I50" s="412"/>
      <c r="J50" s="412"/>
      <c r="K50" s="404"/>
      <c r="L50" s="404"/>
      <c r="M50" s="404"/>
      <c r="N50" s="404"/>
      <c r="O50" s="404"/>
      <c r="P50" s="404"/>
      <c r="Q50" s="404"/>
      <c r="R50" s="404"/>
      <c r="S50" s="395"/>
      <c r="T50" s="395"/>
      <c r="U50" s="395"/>
      <c r="V50" s="404"/>
      <c r="W50" s="404"/>
      <c r="X50" s="404"/>
      <c r="Y50" s="404"/>
      <c r="Z50" s="432"/>
      <c r="AA50" s="404"/>
      <c r="AB50" s="404"/>
      <c r="AC50" s="404"/>
    </row>
    <row r="51" spans="1:29" ht="12.75" customHeight="1" x14ac:dyDescent="0.25">
      <c r="A51" s="395"/>
      <c r="B51" s="395"/>
      <c r="C51" s="417"/>
      <c r="D51" s="412"/>
      <c r="E51" s="395"/>
      <c r="F51" s="412"/>
      <c r="G51" s="412"/>
      <c r="H51" s="412"/>
      <c r="I51" s="412"/>
      <c r="J51" s="412"/>
      <c r="K51" s="404"/>
      <c r="L51" s="404"/>
      <c r="M51" s="404"/>
      <c r="N51" s="404"/>
      <c r="O51" s="404"/>
      <c r="P51" s="404"/>
      <c r="Q51" s="404"/>
      <c r="R51" s="404"/>
      <c r="S51" s="395"/>
      <c r="T51" s="395"/>
      <c r="U51" s="395"/>
      <c r="V51" s="404"/>
      <c r="W51" s="404"/>
      <c r="X51" s="404"/>
      <c r="Y51" s="404"/>
      <c r="Z51" s="432"/>
      <c r="AA51" s="404"/>
      <c r="AB51" s="404"/>
      <c r="AC51" s="404"/>
    </row>
    <row r="52" spans="1:29" ht="12.75" customHeight="1" x14ac:dyDescent="0.25">
      <c r="A52" s="395"/>
      <c r="B52" s="395"/>
      <c r="C52" s="417"/>
      <c r="D52" s="412"/>
      <c r="E52" s="395"/>
      <c r="F52" s="412"/>
      <c r="G52" s="412"/>
      <c r="H52" s="412"/>
      <c r="I52" s="412"/>
      <c r="J52" s="412"/>
      <c r="K52" s="404"/>
      <c r="L52" s="404"/>
      <c r="M52" s="404"/>
      <c r="N52" s="404"/>
      <c r="O52" s="404"/>
      <c r="P52" s="404"/>
      <c r="Q52" s="404"/>
      <c r="R52" s="404"/>
      <c r="S52" s="395"/>
      <c r="T52" s="395"/>
      <c r="U52" s="395"/>
      <c r="V52" s="404"/>
      <c r="W52" s="404"/>
      <c r="X52" s="404"/>
      <c r="Y52" s="404"/>
      <c r="Z52" s="432"/>
      <c r="AA52" s="404"/>
      <c r="AB52" s="404"/>
      <c r="AC52" s="404"/>
    </row>
    <row r="53" spans="1:29" ht="12.75" customHeight="1" x14ac:dyDescent="0.25">
      <c r="A53" s="395"/>
      <c r="B53" s="395"/>
      <c r="C53" s="417"/>
      <c r="D53" s="412"/>
      <c r="E53" s="395"/>
      <c r="F53" s="412"/>
      <c r="G53" s="412"/>
      <c r="H53" s="412"/>
      <c r="I53" s="412"/>
      <c r="J53" s="412"/>
      <c r="K53" s="404"/>
      <c r="L53" s="404"/>
      <c r="M53" s="404"/>
      <c r="N53" s="404"/>
      <c r="O53" s="404"/>
      <c r="P53" s="404"/>
      <c r="Q53" s="404"/>
      <c r="R53" s="404"/>
      <c r="S53" s="395"/>
      <c r="T53" s="395"/>
      <c r="U53" s="395"/>
      <c r="V53" s="404"/>
      <c r="W53" s="404"/>
      <c r="X53" s="404"/>
      <c r="Y53" s="404"/>
      <c r="Z53" s="432"/>
      <c r="AA53" s="404"/>
      <c r="AB53" s="404"/>
      <c r="AC53" s="404"/>
    </row>
    <row r="54" spans="1:29" ht="12.75" customHeight="1" x14ac:dyDescent="0.25">
      <c r="A54" s="395"/>
      <c r="B54" s="395"/>
      <c r="C54" s="417"/>
      <c r="D54" s="412"/>
      <c r="E54" s="395"/>
      <c r="F54" s="412"/>
      <c r="G54" s="412"/>
      <c r="H54" s="412"/>
      <c r="I54" s="412"/>
      <c r="J54" s="412"/>
      <c r="K54" s="404"/>
      <c r="L54" s="404"/>
      <c r="M54" s="404"/>
      <c r="N54" s="404"/>
      <c r="O54" s="404"/>
      <c r="P54" s="404"/>
      <c r="Q54" s="404"/>
      <c r="R54" s="404"/>
      <c r="S54" s="395"/>
      <c r="T54" s="395"/>
      <c r="U54" s="395"/>
      <c r="V54" s="404"/>
      <c r="W54" s="404"/>
      <c r="X54" s="404"/>
      <c r="Y54" s="404"/>
      <c r="Z54" s="432"/>
      <c r="AA54" s="404"/>
      <c r="AB54" s="404"/>
      <c r="AC54" s="404"/>
    </row>
    <row r="55" spans="1:29" ht="12.75" customHeight="1" x14ac:dyDescent="0.25">
      <c r="A55" s="395"/>
      <c r="B55" s="395"/>
      <c r="C55" s="417"/>
      <c r="D55" s="412"/>
      <c r="E55" s="395"/>
      <c r="F55" s="412"/>
      <c r="G55" s="412"/>
      <c r="H55" s="412"/>
      <c r="I55" s="412"/>
      <c r="J55" s="412"/>
      <c r="K55" s="404"/>
      <c r="L55" s="404"/>
      <c r="M55" s="404"/>
      <c r="N55" s="404"/>
      <c r="O55" s="404"/>
      <c r="P55" s="404"/>
      <c r="Q55" s="404"/>
      <c r="R55" s="404"/>
      <c r="S55" s="395"/>
      <c r="T55" s="395"/>
      <c r="U55" s="395"/>
      <c r="V55" s="404"/>
      <c r="W55" s="404"/>
      <c r="X55" s="404"/>
      <c r="Y55" s="404"/>
      <c r="Z55" s="432"/>
      <c r="AA55" s="404"/>
      <c r="AB55" s="404"/>
      <c r="AC55" s="404"/>
    </row>
    <row r="56" spans="1:29" ht="12.75" customHeight="1" x14ac:dyDescent="0.25">
      <c r="A56" s="395"/>
      <c r="B56" s="395"/>
      <c r="C56" s="417"/>
      <c r="D56" s="412"/>
      <c r="E56" s="395"/>
      <c r="F56" s="412"/>
      <c r="G56" s="412"/>
      <c r="H56" s="412"/>
      <c r="I56" s="412"/>
      <c r="J56" s="412"/>
      <c r="K56" s="404"/>
      <c r="L56" s="404"/>
      <c r="M56" s="404"/>
      <c r="N56" s="404"/>
      <c r="O56" s="404"/>
      <c r="P56" s="404"/>
      <c r="Q56" s="404"/>
      <c r="R56" s="404"/>
      <c r="S56" s="395"/>
      <c r="T56" s="395"/>
      <c r="U56" s="395"/>
      <c r="V56" s="404"/>
      <c r="W56" s="404"/>
      <c r="X56" s="404"/>
      <c r="Y56" s="404"/>
      <c r="Z56" s="432"/>
      <c r="AA56" s="404"/>
      <c r="AB56" s="404"/>
      <c r="AC56" s="404"/>
    </row>
    <row r="57" spans="1:29" ht="12.75" customHeight="1" x14ac:dyDescent="0.25">
      <c r="A57" s="395"/>
      <c r="B57" s="395"/>
      <c r="C57" s="417"/>
      <c r="D57" s="412"/>
      <c r="E57" s="395"/>
      <c r="F57" s="412"/>
      <c r="G57" s="412"/>
      <c r="H57" s="412"/>
      <c r="I57" s="412"/>
      <c r="J57" s="412"/>
      <c r="K57" s="404"/>
      <c r="L57" s="404"/>
      <c r="M57" s="404"/>
      <c r="N57" s="404"/>
      <c r="O57" s="404"/>
      <c r="P57" s="404"/>
      <c r="Q57" s="404"/>
      <c r="R57" s="404"/>
      <c r="S57" s="395"/>
      <c r="T57" s="395"/>
      <c r="U57" s="395"/>
      <c r="V57" s="404"/>
      <c r="W57" s="404"/>
      <c r="X57" s="404"/>
      <c r="Y57" s="404"/>
      <c r="Z57" s="432"/>
      <c r="AA57" s="404"/>
      <c r="AB57" s="404"/>
      <c r="AC57" s="404"/>
    </row>
    <row r="58" spans="1:29" ht="12.75" customHeight="1" x14ac:dyDescent="0.25">
      <c r="A58" s="395"/>
      <c r="B58" s="395"/>
      <c r="C58" s="417"/>
      <c r="D58" s="412"/>
      <c r="E58" s="395"/>
      <c r="F58" s="412"/>
      <c r="G58" s="412"/>
      <c r="H58" s="412"/>
      <c r="I58" s="412"/>
      <c r="J58" s="412"/>
      <c r="K58" s="404"/>
      <c r="L58" s="404"/>
      <c r="M58" s="404"/>
      <c r="N58" s="404"/>
      <c r="O58" s="404"/>
      <c r="P58" s="404"/>
      <c r="Q58" s="404"/>
      <c r="R58" s="404"/>
      <c r="S58" s="395"/>
      <c r="T58" s="395"/>
      <c r="U58" s="395"/>
      <c r="V58" s="404"/>
      <c r="W58" s="404"/>
      <c r="X58" s="404"/>
      <c r="Y58" s="404"/>
      <c r="Z58" s="432"/>
      <c r="AA58" s="404"/>
      <c r="AB58" s="404"/>
      <c r="AC58" s="404"/>
    </row>
    <row r="59" spans="1:29" ht="12.75" customHeight="1" x14ac:dyDescent="0.25">
      <c r="A59" s="395"/>
      <c r="B59" s="395"/>
      <c r="C59" s="417"/>
      <c r="D59" s="412"/>
      <c r="E59" s="395"/>
      <c r="F59" s="412"/>
      <c r="G59" s="412"/>
      <c r="H59" s="412"/>
      <c r="I59" s="412"/>
      <c r="J59" s="412"/>
      <c r="K59" s="404"/>
      <c r="L59" s="404"/>
      <c r="M59" s="404"/>
      <c r="N59" s="404"/>
      <c r="O59" s="404"/>
      <c r="P59" s="404"/>
      <c r="Q59" s="404"/>
      <c r="R59" s="404"/>
      <c r="S59" s="395"/>
      <c r="T59" s="395"/>
      <c r="U59" s="395"/>
      <c r="V59" s="404"/>
      <c r="W59" s="404"/>
      <c r="X59" s="404"/>
      <c r="Y59" s="404"/>
      <c r="Z59" s="432"/>
      <c r="AA59" s="404"/>
      <c r="AB59" s="404"/>
      <c r="AC59" s="404"/>
    </row>
    <row r="60" spans="1:29" ht="12.75" customHeight="1" x14ac:dyDescent="0.25">
      <c r="A60" s="395"/>
      <c r="B60" s="395"/>
      <c r="C60" s="417"/>
      <c r="D60" s="412"/>
      <c r="E60" s="395"/>
      <c r="F60" s="412"/>
      <c r="G60" s="412"/>
      <c r="H60" s="412"/>
      <c r="I60" s="412"/>
      <c r="J60" s="412"/>
      <c r="K60" s="404"/>
      <c r="L60" s="404"/>
      <c r="M60" s="404"/>
      <c r="N60" s="404"/>
      <c r="O60" s="404"/>
      <c r="P60" s="404"/>
      <c r="Q60" s="404"/>
      <c r="R60" s="404"/>
      <c r="S60" s="395"/>
      <c r="T60" s="395"/>
      <c r="U60" s="395"/>
      <c r="V60" s="404"/>
      <c r="W60" s="404"/>
      <c r="X60" s="404"/>
      <c r="Y60" s="404"/>
      <c r="Z60" s="432"/>
      <c r="AA60" s="404"/>
      <c r="AB60" s="404"/>
      <c r="AC60" s="404"/>
    </row>
    <row r="61" spans="1:29" ht="12.75" customHeight="1" x14ac:dyDescent="0.25">
      <c r="A61" s="395"/>
      <c r="B61" s="395"/>
      <c r="C61" s="417"/>
      <c r="D61" s="412"/>
      <c r="E61" s="395"/>
      <c r="F61" s="412"/>
      <c r="G61" s="412"/>
      <c r="H61" s="412"/>
      <c r="I61" s="412"/>
      <c r="J61" s="412"/>
      <c r="K61" s="404"/>
      <c r="L61" s="404"/>
      <c r="M61" s="404"/>
      <c r="N61" s="404"/>
      <c r="O61" s="404"/>
      <c r="P61" s="404"/>
      <c r="Q61" s="404"/>
      <c r="R61" s="404"/>
      <c r="S61" s="395"/>
      <c r="T61" s="395"/>
      <c r="U61" s="395"/>
      <c r="V61" s="404"/>
      <c r="W61" s="404"/>
      <c r="X61" s="404"/>
      <c r="Y61" s="404"/>
      <c r="Z61" s="432"/>
      <c r="AA61" s="404"/>
      <c r="AB61" s="404"/>
      <c r="AC61" s="404"/>
    </row>
    <row r="62" spans="1:29" ht="12.75" customHeight="1" x14ac:dyDescent="0.25">
      <c r="A62" s="395"/>
      <c r="B62" s="395"/>
      <c r="C62" s="417"/>
      <c r="D62" s="412"/>
      <c r="E62" s="395"/>
      <c r="F62" s="412"/>
      <c r="G62" s="412"/>
      <c r="H62" s="412"/>
      <c r="I62" s="412"/>
      <c r="J62" s="412"/>
      <c r="K62" s="404"/>
      <c r="L62" s="404"/>
      <c r="M62" s="404"/>
      <c r="N62" s="404"/>
      <c r="O62" s="404"/>
      <c r="P62" s="404"/>
      <c r="Q62" s="404"/>
      <c r="R62" s="404"/>
      <c r="S62" s="395"/>
      <c r="T62" s="395"/>
      <c r="U62" s="395"/>
      <c r="V62" s="404"/>
      <c r="W62" s="404"/>
      <c r="X62" s="404"/>
      <c r="Y62" s="404"/>
      <c r="Z62" s="432"/>
      <c r="AA62" s="404"/>
      <c r="AB62" s="404"/>
      <c r="AC62" s="404"/>
    </row>
    <row r="63" spans="1:29" ht="12.75" customHeight="1" x14ac:dyDescent="0.25">
      <c r="A63" s="395"/>
      <c r="B63" s="395"/>
      <c r="C63" s="417"/>
      <c r="D63" s="412"/>
      <c r="E63" s="395"/>
      <c r="F63" s="412"/>
      <c r="G63" s="412"/>
      <c r="H63" s="412"/>
      <c r="I63" s="412"/>
      <c r="J63" s="412"/>
      <c r="K63" s="404"/>
      <c r="L63" s="404"/>
      <c r="M63" s="404"/>
      <c r="N63" s="404"/>
      <c r="O63" s="404"/>
      <c r="P63" s="404"/>
      <c r="Q63" s="404"/>
      <c r="R63" s="404"/>
      <c r="S63" s="395"/>
      <c r="T63" s="395"/>
      <c r="U63" s="395"/>
      <c r="V63" s="404"/>
      <c r="W63" s="404"/>
      <c r="X63" s="404"/>
      <c r="Y63" s="404"/>
      <c r="Z63" s="432"/>
      <c r="AA63" s="404"/>
      <c r="AB63" s="404"/>
      <c r="AC63" s="404"/>
    </row>
    <row r="64" spans="1:29" ht="12.75" customHeight="1" x14ac:dyDescent="0.25">
      <c r="A64" s="395"/>
      <c r="B64" s="395"/>
      <c r="C64" s="417"/>
      <c r="D64" s="412"/>
      <c r="E64" s="395"/>
      <c r="F64" s="412"/>
      <c r="G64" s="412"/>
      <c r="H64" s="412"/>
      <c r="I64" s="412"/>
      <c r="J64" s="412"/>
      <c r="K64" s="404"/>
      <c r="L64" s="404"/>
      <c r="M64" s="404"/>
      <c r="N64" s="404"/>
      <c r="O64" s="404"/>
      <c r="P64" s="404"/>
      <c r="Q64" s="404"/>
      <c r="R64" s="404"/>
      <c r="S64" s="395"/>
      <c r="T64" s="395"/>
      <c r="U64" s="395"/>
      <c r="V64" s="404"/>
      <c r="W64" s="404"/>
      <c r="X64" s="404"/>
      <c r="Y64" s="404"/>
      <c r="Z64" s="432"/>
      <c r="AA64" s="404"/>
      <c r="AB64" s="404"/>
      <c r="AC64" s="404"/>
    </row>
    <row r="65" spans="1:29" ht="12.75" customHeight="1" x14ac:dyDescent="0.25">
      <c r="A65" s="395"/>
      <c r="B65" s="395"/>
      <c r="C65" s="417"/>
      <c r="D65" s="412"/>
      <c r="E65" s="395"/>
      <c r="F65" s="412"/>
      <c r="G65" s="412"/>
      <c r="H65" s="412"/>
      <c r="I65" s="412"/>
      <c r="J65" s="412"/>
      <c r="K65" s="404"/>
      <c r="L65" s="404"/>
      <c r="M65" s="404"/>
      <c r="N65" s="404"/>
      <c r="O65" s="404"/>
      <c r="P65" s="404"/>
      <c r="Q65" s="404"/>
      <c r="R65" s="404"/>
      <c r="S65" s="395"/>
      <c r="T65" s="395"/>
      <c r="U65" s="395"/>
      <c r="V65" s="404"/>
      <c r="W65" s="404"/>
      <c r="X65" s="404"/>
      <c r="Y65" s="404"/>
      <c r="Z65" s="432"/>
      <c r="AA65" s="404"/>
      <c r="AB65" s="404"/>
      <c r="AC65" s="404"/>
    </row>
    <row r="66" spans="1:29" ht="12.75" customHeight="1" x14ac:dyDescent="0.25">
      <c r="A66" s="395"/>
      <c r="B66" s="395"/>
      <c r="C66" s="417"/>
      <c r="D66" s="412"/>
      <c r="E66" s="395"/>
      <c r="F66" s="412"/>
      <c r="G66" s="412"/>
      <c r="H66" s="412"/>
      <c r="I66" s="412"/>
      <c r="J66" s="412"/>
      <c r="K66" s="404"/>
      <c r="L66" s="404"/>
      <c r="M66" s="404"/>
      <c r="N66" s="404"/>
      <c r="O66" s="404"/>
      <c r="P66" s="404"/>
      <c r="Q66" s="404"/>
      <c r="R66" s="404"/>
      <c r="S66" s="395"/>
      <c r="T66" s="395"/>
      <c r="U66" s="395"/>
      <c r="V66" s="404"/>
      <c r="W66" s="404"/>
      <c r="X66" s="404"/>
      <c r="Y66" s="404"/>
      <c r="Z66" s="432"/>
      <c r="AA66" s="404"/>
      <c r="AB66" s="404"/>
      <c r="AC66" s="404"/>
    </row>
    <row r="67" spans="1:29" ht="12.75" customHeight="1" x14ac:dyDescent="0.25">
      <c r="A67" s="395"/>
      <c r="B67" s="395"/>
      <c r="C67" s="417"/>
      <c r="D67" s="412"/>
      <c r="E67" s="395"/>
      <c r="F67" s="412"/>
      <c r="G67" s="412"/>
      <c r="H67" s="412"/>
      <c r="I67" s="412"/>
      <c r="J67" s="412"/>
      <c r="K67" s="404"/>
      <c r="L67" s="404"/>
      <c r="M67" s="404"/>
      <c r="N67" s="404"/>
      <c r="O67" s="404"/>
      <c r="P67" s="404"/>
      <c r="Q67" s="404"/>
      <c r="R67" s="404"/>
      <c r="S67" s="395"/>
      <c r="T67" s="395"/>
      <c r="U67" s="395"/>
      <c r="V67" s="404"/>
      <c r="W67" s="404"/>
      <c r="X67" s="404"/>
      <c r="Y67" s="404"/>
      <c r="Z67" s="432"/>
      <c r="AA67" s="404"/>
      <c r="AB67" s="404"/>
      <c r="AC67" s="404"/>
    </row>
    <row r="68" spans="1:29" ht="12.75" customHeight="1" x14ac:dyDescent="0.25">
      <c r="A68" s="395"/>
      <c r="B68" s="395"/>
      <c r="C68" s="417"/>
      <c r="D68" s="412"/>
      <c r="E68" s="395"/>
      <c r="F68" s="412"/>
      <c r="G68" s="412"/>
      <c r="H68" s="412"/>
      <c r="I68" s="412"/>
      <c r="J68" s="412"/>
      <c r="K68" s="404"/>
      <c r="L68" s="404"/>
      <c r="M68" s="404"/>
      <c r="N68" s="404"/>
      <c r="O68" s="404"/>
      <c r="P68" s="404"/>
      <c r="Q68" s="404"/>
      <c r="R68" s="404"/>
      <c r="S68" s="395"/>
      <c r="T68" s="395"/>
      <c r="U68" s="395"/>
      <c r="V68" s="404"/>
      <c r="W68" s="404"/>
      <c r="X68" s="404"/>
      <c r="Y68" s="404"/>
      <c r="Z68" s="432"/>
      <c r="AA68" s="404"/>
      <c r="AB68" s="404"/>
      <c r="AC68" s="404"/>
    </row>
    <row r="69" spans="1:29" ht="12.75" customHeight="1" x14ac:dyDescent="0.25">
      <c r="A69" s="395"/>
      <c r="B69" s="395"/>
      <c r="C69" s="417"/>
      <c r="D69" s="412"/>
      <c r="E69" s="395"/>
      <c r="F69" s="412"/>
      <c r="G69" s="412"/>
      <c r="H69" s="412"/>
      <c r="I69" s="412"/>
      <c r="J69" s="412"/>
      <c r="K69" s="404"/>
      <c r="L69" s="404"/>
      <c r="M69" s="404"/>
      <c r="N69" s="404"/>
      <c r="O69" s="404"/>
      <c r="P69" s="404"/>
      <c r="Q69" s="404"/>
      <c r="R69" s="404"/>
      <c r="S69" s="395"/>
      <c r="T69" s="395"/>
      <c r="U69" s="395"/>
      <c r="V69" s="404"/>
      <c r="W69" s="404"/>
      <c r="X69" s="404"/>
      <c r="Y69" s="404"/>
      <c r="Z69" s="432"/>
      <c r="AA69" s="404"/>
      <c r="AB69" s="404"/>
      <c r="AC69" s="404"/>
    </row>
    <row r="70" spans="1:29" ht="12.75" customHeight="1" x14ac:dyDescent="0.25">
      <c r="A70" s="395"/>
      <c r="B70" s="395"/>
      <c r="C70" s="417"/>
      <c r="D70" s="412"/>
      <c r="E70" s="395"/>
      <c r="F70" s="412"/>
      <c r="G70" s="412"/>
      <c r="H70" s="412"/>
      <c r="I70" s="412"/>
      <c r="J70" s="412"/>
      <c r="K70" s="404"/>
      <c r="L70" s="404"/>
      <c r="M70" s="404"/>
      <c r="N70" s="404"/>
      <c r="O70" s="404"/>
      <c r="P70" s="404"/>
      <c r="Q70" s="404"/>
      <c r="R70" s="404"/>
      <c r="S70" s="395"/>
      <c r="T70" s="395"/>
      <c r="U70" s="395"/>
      <c r="V70" s="404"/>
      <c r="W70" s="404"/>
      <c r="X70" s="404"/>
      <c r="Y70" s="404"/>
      <c r="Z70" s="432"/>
      <c r="AA70" s="404"/>
      <c r="AB70" s="404"/>
      <c r="AC70" s="404"/>
    </row>
    <row r="71" spans="1:29" ht="12.75" customHeight="1" x14ac:dyDescent="0.25">
      <c r="A71" s="395"/>
      <c r="B71" s="395"/>
      <c r="C71" s="417"/>
      <c r="D71" s="412"/>
      <c r="E71" s="395"/>
      <c r="F71" s="412"/>
      <c r="G71" s="412"/>
      <c r="H71" s="412"/>
      <c r="I71" s="412"/>
      <c r="J71" s="412"/>
      <c r="K71" s="404"/>
      <c r="L71" s="404"/>
      <c r="M71" s="404"/>
      <c r="N71" s="404"/>
      <c r="O71" s="404"/>
      <c r="P71" s="404"/>
      <c r="Q71" s="404"/>
      <c r="R71" s="404"/>
      <c r="S71" s="395"/>
      <c r="T71" s="395"/>
      <c r="U71" s="395"/>
      <c r="V71" s="404"/>
      <c r="W71" s="404"/>
      <c r="X71" s="404"/>
      <c r="Y71" s="404"/>
      <c r="Z71" s="432"/>
      <c r="AA71" s="404"/>
      <c r="AB71" s="404"/>
      <c r="AC71" s="404"/>
    </row>
    <row r="72" spans="1:29" ht="12.75" customHeight="1" x14ac:dyDescent="0.25">
      <c r="A72" s="395"/>
      <c r="B72" s="395"/>
      <c r="C72" s="417"/>
      <c r="D72" s="412"/>
      <c r="E72" s="395"/>
      <c r="F72" s="412"/>
      <c r="G72" s="412"/>
      <c r="H72" s="412"/>
      <c r="I72" s="412"/>
      <c r="J72" s="412"/>
      <c r="K72" s="404"/>
      <c r="L72" s="404"/>
      <c r="M72" s="404"/>
      <c r="N72" s="404"/>
      <c r="O72" s="404"/>
      <c r="P72" s="404"/>
      <c r="Q72" s="404"/>
      <c r="R72" s="404"/>
      <c r="S72" s="395"/>
      <c r="T72" s="395"/>
      <c r="U72" s="395"/>
      <c r="V72" s="404"/>
      <c r="W72" s="404"/>
      <c r="X72" s="404"/>
      <c r="Y72" s="404"/>
      <c r="Z72" s="432"/>
      <c r="AA72" s="404"/>
      <c r="AB72" s="404"/>
      <c r="AC72" s="404"/>
    </row>
    <row r="73" spans="1:29" ht="12.75" customHeight="1" x14ac:dyDescent="0.25">
      <c r="A73" s="395"/>
      <c r="B73" s="395"/>
      <c r="C73" s="417"/>
      <c r="D73" s="412"/>
      <c r="E73" s="395"/>
      <c r="F73" s="412"/>
      <c r="G73" s="412"/>
      <c r="H73" s="412"/>
      <c r="I73" s="412"/>
      <c r="J73" s="412"/>
      <c r="K73" s="404"/>
      <c r="L73" s="404"/>
      <c r="M73" s="404"/>
      <c r="N73" s="404"/>
      <c r="O73" s="404"/>
      <c r="P73" s="404"/>
      <c r="Q73" s="404"/>
      <c r="R73" s="404"/>
      <c r="S73" s="395"/>
      <c r="T73" s="395"/>
      <c r="U73" s="395"/>
      <c r="V73" s="404"/>
      <c r="W73" s="404"/>
      <c r="X73" s="404"/>
      <c r="Y73" s="404"/>
      <c r="Z73" s="432"/>
      <c r="AA73" s="404"/>
      <c r="AB73" s="404"/>
      <c r="AC73" s="404"/>
    </row>
    <row r="74" spans="1:29" ht="12.75" customHeight="1" x14ac:dyDescent="0.25">
      <c r="A74" s="395"/>
      <c r="B74" s="395"/>
      <c r="C74" s="417"/>
      <c r="D74" s="412"/>
      <c r="E74" s="395"/>
      <c r="F74" s="412"/>
      <c r="G74" s="412"/>
      <c r="H74" s="412"/>
      <c r="I74" s="412"/>
      <c r="J74" s="412"/>
      <c r="K74" s="404"/>
      <c r="L74" s="404"/>
      <c r="M74" s="404"/>
      <c r="N74" s="404"/>
      <c r="O74" s="404"/>
      <c r="P74" s="404"/>
      <c r="Q74" s="404"/>
      <c r="R74" s="404"/>
      <c r="S74" s="395"/>
      <c r="T74" s="395"/>
      <c r="U74" s="395"/>
      <c r="V74" s="404"/>
      <c r="W74" s="404"/>
      <c r="X74" s="404"/>
      <c r="Y74" s="404"/>
      <c r="Z74" s="432"/>
      <c r="AA74" s="404"/>
      <c r="AB74" s="404"/>
      <c r="AC74" s="404"/>
    </row>
    <row r="75" spans="1:29" ht="12.75" customHeight="1" x14ac:dyDescent="0.25">
      <c r="A75" s="395"/>
      <c r="B75" s="395"/>
      <c r="C75" s="417"/>
      <c r="D75" s="412"/>
      <c r="E75" s="395"/>
      <c r="F75" s="412"/>
      <c r="G75" s="412"/>
      <c r="H75" s="412"/>
      <c r="I75" s="412"/>
      <c r="J75" s="412"/>
      <c r="K75" s="404"/>
      <c r="L75" s="404"/>
      <c r="M75" s="404"/>
      <c r="N75" s="404"/>
      <c r="O75" s="404"/>
      <c r="P75" s="404"/>
      <c r="Q75" s="404"/>
      <c r="R75" s="404"/>
      <c r="S75" s="395"/>
      <c r="T75" s="395"/>
      <c r="U75" s="395"/>
      <c r="V75" s="404"/>
      <c r="W75" s="404"/>
      <c r="X75" s="404"/>
      <c r="Y75" s="404"/>
      <c r="Z75" s="432"/>
      <c r="AA75" s="404"/>
      <c r="AB75" s="404"/>
      <c r="AC75" s="404"/>
    </row>
    <row r="76" spans="1:29" ht="12.75" customHeight="1" x14ac:dyDescent="0.25">
      <c r="A76" s="395"/>
      <c r="B76" s="395"/>
      <c r="C76" s="417"/>
      <c r="D76" s="412"/>
      <c r="E76" s="395"/>
      <c r="F76" s="412"/>
      <c r="G76" s="412"/>
      <c r="H76" s="412"/>
      <c r="I76" s="412"/>
      <c r="J76" s="412"/>
      <c r="K76" s="404"/>
      <c r="L76" s="404"/>
      <c r="M76" s="404"/>
      <c r="N76" s="404"/>
      <c r="O76" s="404"/>
      <c r="P76" s="404"/>
      <c r="Q76" s="404"/>
      <c r="R76" s="404"/>
      <c r="S76" s="395"/>
      <c r="T76" s="395"/>
      <c r="U76" s="395"/>
      <c r="V76" s="404"/>
      <c r="W76" s="404"/>
      <c r="X76" s="404"/>
      <c r="Y76" s="404"/>
      <c r="Z76" s="432"/>
      <c r="AA76" s="404"/>
      <c r="AB76" s="404"/>
      <c r="AC76" s="404"/>
    </row>
    <row r="77" spans="1:29" ht="12.75" customHeight="1" x14ac:dyDescent="0.25">
      <c r="A77" s="395"/>
      <c r="B77" s="395"/>
      <c r="C77" s="417"/>
      <c r="D77" s="412"/>
      <c r="E77" s="395"/>
      <c r="F77" s="412"/>
      <c r="G77" s="412"/>
      <c r="H77" s="412"/>
      <c r="I77" s="412"/>
      <c r="J77" s="412"/>
      <c r="K77" s="404"/>
      <c r="L77" s="404"/>
      <c r="M77" s="404"/>
      <c r="N77" s="404"/>
      <c r="O77" s="404"/>
      <c r="P77" s="404"/>
      <c r="Q77" s="404"/>
      <c r="R77" s="404"/>
      <c r="S77" s="395"/>
      <c r="T77" s="395"/>
      <c r="U77" s="395"/>
      <c r="V77" s="404"/>
      <c r="W77" s="404"/>
      <c r="X77" s="404"/>
      <c r="Y77" s="404"/>
      <c r="Z77" s="432"/>
      <c r="AA77" s="404"/>
      <c r="AB77" s="404"/>
      <c r="AC77" s="404"/>
    </row>
    <row r="78" spans="1:29" ht="12.75" customHeight="1" x14ac:dyDescent="0.25">
      <c r="A78" s="395"/>
      <c r="B78" s="395"/>
      <c r="C78" s="417"/>
      <c r="D78" s="412"/>
      <c r="E78" s="395"/>
      <c r="F78" s="412"/>
      <c r="G78" s="412"/>
      <c r="H78" s="412"/>
      <c r="I78" s="412"/>
      <c r="J78" s="412"/>
      <c r="K78" s="404"/>
      <c r="L78" s="404"/>
      <c r="M78" s="404"/>
      <c r="N78" s="404"/>
      <c r="O78" s="404"/>
      <c r="P78" s="404"/>
      <c r="Q78" s="404"/>
      <c r="R78" s="404"/>
      <c r="S78" s="395"/>
      <c r="T78" s="395"/>
      <c r="U78" s="395"/>
      <c r="V78" s="404"/>
      <c r="W78" s="404"/>
      <c r="X78" s="404"/>
      <c r="Y78" s="404"/>
      <c r="Z78" s="432"/>
      <c r="AA78" s="404"/>
      <c r="AB78" s="404"/>
      <c r="AC78" s="404"/>
    </row>
    <row r="79" spans="1:29" ht="12.75" customHeight="1" x14ac:dyDescent="0.25">
      <c r="A79" s="395"/>
      <c r="B79" s="395"/>
      <c r="C79" s="417"/>
      <c r="D79" s="412"/>
      <c r="E79" s="395"/>
      <c r="F79" s="412"/>
      <c r="G79" s="412"/>
      <c r="H79" s="412"/>
      <c r="I79" s="412"/>
      <c r="J79" s="412"/>
      <c r="K79" s="404"/>
      <c r="L79" s="404"/>
      <c r="M79" s="404"/>
      <c r="N79" s="404"/>
      <c r="O79" s="404"/>
      <c r="P79" s="404"/>
      <c r="Q79" s="404"/>
      <c r="R79" s="404"/>
      <c r="S79" s="395"/>
      <c r="T79" s="395"/>
      <c r="U79" s="395"/>
      <c r="V79" s="404"/>
      <c r="W79" s="404"/>
      <c r="X79" s="404"/>
      <c r="Y79" s="404"/>
      <c r="Z79" s="432"/>
      <c r="AA79" s="404"/>
      <c r="AB79" s="404"/>
      <c r="AC79" s="404"/>
    </row>
    <row r="80" spans="1:29" ht="12.75" customHeight="1" x14ac:dyDescent="0.25">
      <c r="A80" s="395"/>
      <c r="B80" s="395"/>
      <c r="C80" s="417"/>
      <c r="D80" s="412"/>
      <c r="E80" s="395"/>
      <c r="F80" s="412"/>
      <c r="G80" s="412"/>
      <c r="H80" s="412"/>
      <c r="I80" s="412"/>
      <c r="J80" s="412"/>
      <c r="K80" s="404"/>
      <c r="L80" s="404"/>
      <c r="M80" s="404"/>
      <c r="N80" s="404"/>
      <c r="O80" s="404"/>
      <c r="P80" s="404"/>
      <c r="Q80" s="404"/>
      <c r="R80" s="404"/>
      <c r="S80" s="395"/>
      <c r="T80" s="395"/>
      <c r="U80" s="395"/>
      <c r="V80" s="404"/>
      <c r="W80" s="404"/>
      <c r="X80" s="404"/>
      <c r="Y80" s="404"/>
      <c r="Z80" s="432"/>
      <c r="AA80" s="404"/>
      <c r="AB80" s="404"/>
      <c r="AC80" s="404"/>
    </row>
    <row r="81" spans="1:29" ht="12.75" customHeight="1" x14ac:dyDescent="0.25">
      <c r="A81" s="395"/>
      <c r="B81" s="395"/>
      <c r="C81" s="417"/>
      <c r="D81" s="412"/>
      <c r="E81" s="395"/>
      <c r="F81" s="412"/>
      <c r="G81" s="412"/>
      <c r="H81" s="412"/>
      <c r="I81" s="412"/>
      <c r="J81" s="412"/>
      <c r="K81" s="404"/>
      <c r="L81" s="404"/>
      <c r="M81" s="404"/>
      <c r="N81" s="404"/>
      <c r="O81" s="404"/>
      <c r="P81" s="404"/>
      <c r="Q81" s="404"/>
      <c r="R81" s="404"/>
      <c r="S81" s="395"/>
      <c r="T81" s="395"/>
      <c r="U81" s="395"/>
      <c r="V81" s="404"/>
      <c r="W81" s="404"/>
      <c r="X81" s="404"/>
      <c r="Y81" s="404"/>
      <c r="Z81" s="432"/>
      <c r="AA81" s="404"/>
      <c r="AB81" s="404"/>
      <c r="AC81" s="404"/>
    </row>
    <row r="82" spans="1:29" ht="12.75" customHeight="1" x14ac:dyDescent="0.25">
      <c r="A82" s="395"/>
      <c r="B82" s="395"/>
      <c r="C82" s="417"/>
      <c r="D82" s="412"/>
      <c r="E82" s="395"/>
      <c r="F82" s="412"/>
      <c r="G82" s="412"/>
      <c r="H82" s="412"/>
      <c r="I82" s="412"/>
      <c r="J82" s="412"/>
      <c r="K82" s="404"/>
      <c r="L82" s="404"/>
      <c r="M82" s="404"/>
      <c r="N82" s="404"/>
      <c r="O82" s="404"/>
      <c r="P82" s="404"/>
      <c r="Q82" s="404"/>
      <c r="R82" s="404"/>
      <c r="S82" s="395"/>
      <c r="T82" s="395"/>
      <c r="U82" s="395"/>
      <c r="V82" s="404"/>
      <c r="W82" s="404"/>
      <c r="X82" s="404"/>
      <c r="Y82" s="404"/>
      <c r="Z82" s="432"/>
      <c r="AA82" s="404"/>
      <c r="AB82" s="404"/>
      <c r="AC82" s="404"/>
    </row>
    <row r="83" spans="1:29" ht="12.75" customHeight="1" x14ac:dyDescent="0.25">
      <c r="A83" s="395"/>
      <c r="B83" s="395"/>
      <c r="C83" s="417"/>
      <c r="D83" s="412"/>
      <c r="E83" s="395"/>
      <c r="F83" s="412"/>
      <c r="G83" s="412"/>
      <c r="H83" s="412"/>
      <c r="I83" s="412"/>
      <c r="J83" s="412"/>
      <c r="K83" s="404"/>
      <c r="L83" s="404"/>
      <c r="M83" s="404"/>
      <c r="N83" s="404"/>
      <c r="O83" s="404"/>
      <c r="P83" s="404"/>
      <c r="Q83" s="404"/>
      <c r="R83" s="404"/>
      <c r="S83" s="395"/>
      <c r="T83" s="395"/>
      <c r="U83" s="395"/>
      <c r="V83" s="404"/>
      <c r="W83" s="404"/>
      <c r="X83" s="404"/>
      <c r="Y83" s="404"/>
      <c r="Z83" s="432"/>
      <c r="AA83" s="404"/>
      <c r="AB83" s="404"/>
      <c r="AC83" s="404"/>
    </row>
    <row r="84" spans="1:29" ht="12.75" customHeight="1" x14ac:dyDescent="0.25">
      <c r="A84" s="395"/>
      <c r="B84" s="395"/>
      <c r="C84" s="417"/>
      <c r="D84" s="412"/>
      <c r="E84" s="395"/>
      <c r="F84" s="412"/>
      <c r="G84" s="412"/>
      <c r="H84" s="412"/>
      <c r="I84" s="412"/>
      <c r="J84" s="412"/>
      <c r="K84" s="404"/>
      <c r="L84" s="404"/>
      <c r="M84" s="404"/>
      <c r="N84" s="404"/>
      <c r="O84" s="404"/>
      <c r="P84" s="404"/>
      <c r="Q84" s="404"/>
      <c r="R84" s="404"/>
      <c r="S84" s="395"/>
      <c r="T84" s="395"/>
      <c r="U84" s="395"/>
      <c r="V84" s="404"/>
      <c r="W84" s="404"/>
      <c r="X84" s="404"/>
      <c r="Y84" s="404"/>
      <c r="Z84" s="432"/>
      <c r="AA84" s="404"/>
      <c r="AB84" s="404"/>
      <c r="AC84" s="404"/>
    </row>
    <row r="85" spans="1:29" ht="12.75" customHeight="1" x14ac:dyDescent="0.25">
      <c r="A85" s="395"/>
      <c r="B85" s="395"/>
      <c r="C85" s="417"/>
      <c r="D85" s="412"/>
      <c r="E85" s="395"/>
      <c r="F85" s="412"/>
      <c r="G85" s="412"/>
      <c r="H85" s="412"/>
      <c r="I85" s="412"/>
      <c r="J85" s="412"/>
      <c r="K85" s="404"/>
      <c r="L85" s="404"/>
      <c r="M85" s="404"/>
      <c r="N85" s="404"/>
      <c r="O85" s="404"/>
      <c r="P85" s="404"/>
      <c r="Q85" s="404"/>
      <c r="R85" s="404"/>
      <c r="S85" s="395"/>
      <c r="T85" s="395"/>
      <c r="U85" s="395"/>
      <c r="V85" s="404"/>
      <c r="W85" s="404"/>
      <c r="X85" s="404"/>
      <c r="Y85" s="404"/>
      <c r="Z85" s="432"/>
      <c r="AA85" s="404"/>
      <c r="AB85" s="404"/>
      <c r="AC85" s="404"/>
    </row>
    <row r="86" spans="1:29" ht="12.75" customHeight="1" x14ac:dyDescent="0.25">
      <c r="A86" s="395"/>
      <c r="B86" s="395"/>
      <c r="C86" s="417"/>
      <c r="D86" s="412"/>
      <c r="E86" s="395"/>
      <c r="F86" s="412"/>
      <c r="G86" s="412"/>
      <c r="H86" s="412"/>
      <c r="I86" s="412"/>
      <c r="J86" s="412"/>
      <c r="K86" s="404"/>
      <c r="L86" s="404"/>
      <c r="M86" s="404"/>
      <c r="N86" s="404"/>
      <c r="O86" s="404"/>
      <c r="P86" s="404"/>
      <c r="Q86" s="404"/>
      <c r="R86" s="404"/>
      <c r="S86" s="395"/>
      <c r="T86" s="395"/>
      <c r="U86" s="395"/>
      <c r="V86" s="404"/>
      <c r="W86" s="404"/>
      <c r="X86" s="404"/>
      <c r="Y86" s="404"/>
      <c r="Z86" s="432"/>
      <c r="AA86" s="404"/>
      <c r="AB86" s="404"/>
      <c r="AC86" s="404"/>
    </row>
    <row r="87" spans="1:29" ht="12.75" customHeight="1" x14ac:dyDescent="0.25">
      <c r="A87" s="395"/>
      <c r="B87" s="395"/>
      <c r="C87" s="417"/>
      <c r="D87" s="412"/>
      <c r="E87" s="395"/>
      <c r="F87" s="412"/>
      <c r="G87" s="412"/>
      <c r="H87" s="412"/>
      <c r="I87" s="412"/>
      <c r="J87" s="412"/>
      <c r="K87" s="404"/>
      <c r="L87" s="404"/>
      <c r="M87" s="404"/>
      <c r="N87" s="404"/>
      <c r="O87" s="404"/>
      <c r="P87" s="404"/>
      <c r="Q87" s="404"/>
      <c r="R87" s="404"/>
      <c r="S87" s="395"/>
      <c r="T87" s="395"/>
      <c r="U87" s="395"/>
      <c r="V87" s="404"/>
      <c r="W87" s="404"/>
      <c r="X87" s="404"/>
      <c r="Y87" s="404"/>
      <c r="Z87" s="432"/>
      <c r="AA87" s="404"/>
      <c r="AB87" s="404"/>
      <c r="AC87" s="404"/>
    </row>
    <row r="88" spans="1:29" ht="12.75" customHeight="1" x14ac:dyDescent="0.25">
      <c r="A88" s="395"/>
      <c r="B88" s="395"/>
      <c r="C88" s="417"/>
      <c r="D88" s="412"/>
      <c r="E88" s="395"/>
      <c r="F88" s="412"/>
      <c r="G88" s="412"/>
      <c r="H88" s="412"/>
      <c r="I88" s="412"/>
      <c r="J88" s="412"/>
      <c r="K88" s="404"/>
      <c r="L88" s="404"/>
      <c r="M88" s="404"/>
      <c r="N88" s="404"/>
      <c r="O88" s="404"/>
      <c r="P88" s="404"/>
      <c r="Q88" s="404"/>
      <c r="R88" s="404"/>
      <c r="S88" s="395"/>
      <c r="T88" s="395"/>
      <c r="U88" s="395"/>
      <c r="V88" s="404"/>
      <c r="W88" s="404"/>
      <c r="X88" s="404"/>
      <c r="Y88" s="404"/>
      <c r="Z88" s="432"/>
      <c r="AA88" s="404"/>
      <c r="AB88" s="404"/>
      <c r="AC88" s="404"/>
    </row>
    <row r="89" spans="1:29" ht="12.75" customHeight="1" x14ac:dyDescent="0.25">
      <c r="A89" s="395"/>
      <c r="B89" s="395"/>
      <c r="C89" s="417"/>
      <c r="D89" s="412"/>
      <c r="E89" s="395"/>
      <c r="F89" s="412"/>
      <c r="G89" s="412"/>
      <c r="H89" s="412"/>
      <c r="I89" s="412"/>
      <c r="J89" s="412"/>
      <c r="K89" s="404"/>
      <c r="L89" s="404"/>
      <c r="M89" s="404"/>
      <c r="N89" s="404"/>
      <c r="O89" s="404"/>
      <c r="P89" s="404"/>
      <c r="Q89" s="404"/>
      <c r="R89" s="404"/>
      <c r="S89" s="395"/>
      <c r="T89" s="395"/>
      <c r="U89" s="395"/>
      <c r="V89" s="404"/>
      <c r="W89" s="404"/>
      <c r="X89" s="404"/>
      <c r="Y89" s="404"/>
      <c r="Z89" s="432"/>
      <c r="AA89" s="404"/>
      <c r="AB89" s="404"/>
      <c r="AC89" s="404"/>
    </row>
    <row r="90" spans="1:29" ht="12.75" customHeight="1" x14ac:dyDescent="0.25">
      <c r="A90" s="395"/>
      <c r="B90" s="395"/>
      <c r="C90" s="417"/>
      <c r="D90" s="412"/>
      <c r="E90" s="395"/>
      <c r="F90" s="412"/>
      <c r="G90" s="412"/>
      <c r="H90" s="412"/>
      <c r="I90" s="412"/>
      <c r="J90" s="412"/>
      <c r="K90" s="404"/>
      <c r="L90" s="404"/>
      <c r="M90" s="404"/>
      <c r="N90" s="404"/>
      <c r="O90" s="404"/>
      <c r="P90" s="404"/>
      <c r="Q90" s="404"/>
      <c r="R90" s="404"/>
      <c r="S90" s="395"/>
      <c r="T90" s="395"/>
      <c r="U90" s="395"/>
      <c r="V90" s="404"/>
      <c r="W90" s="404"/>
      <c r="X90" s="404"/>
      <c r="Y90" s="404"/>
      <c r="Z90" s="432"/>
      <c r="AA90" s="404"/>
      <c r="AB90" s="404"/>
      <c r="AC90" s="404"/>
    </row>
    <row r="91" spans="1:29" ht="12.75" customHeight="1" x14ac:dyDescent="0.25">
      <c r="A91" s="395"/>
      <c r="B91" s="395"/>
      <c r="C91" s="417"/>
      <c r="D91" s="412"/>
      <c r="E91" s="395"/>
      <c r="F91" s="412"/>
      <c r="G91" s="412"/>
      <c r="H91" s="412"/>
      <c r="I91" s="412"/>
      <c r="J91" s="412"/>
      <c r="K91" s="404"/>
      <c r="L91" s="404"/>
      <c r="M91" s="404"/>
      <c r="N91" s="404"/>
      <c r="O91" s="404"/>
      <c r="P91" s="404"/>
      <c r="Q91" s="404"/>
      <c r="R91" s="404"/>
      <c r="S91" s="395"/>
      <c r="T91" s="395"/>
      <c r="U91" s="395"/>
      <c r="V91" s="404"/>
      <c r="W91" s="404"/>
      <c r="X91" s="404"/>
      <c r="Y91" s="404"/>
      <c r="Z91" s="432"/>
      <c r="AA91" s="404"/>
      <c r="AB91" s="404"/>
      <c r="AC91" s="404"/>
    </row>
    <row r="92" spans="1:29" ht="12.75" customHeight="1" x14ac:dyDescent="0.25">
      <c r="A92" s="395"/>
      <c r="B92" s="395"/>
      <c r="C92" s="417"/>
      <c r="D92" s="412"/>
      <c r="E92" s="395"/>
      <c r="F92" s="412"/>
      <c r="G92" s="412"/>
      <c r="H92" s="412"/>
      <c r="I92" s="412"/>
      <c r="J92" s="412"/>
      <c r="K92" s="404"/>
      <c r="L92" s="404"/>
      <c r="M92" s="404"/>
      <c r="N92" s="404"/>
      <c r="O92" s="404"/>
      <c r="P92" s="404"/>
      <c r="Q92" s="404"/>
      <c r="R92" s="404"/>
      <c r="S92" s="395"/>
      <c r="T92" s="395"/>
      <c r="U92" s="395"/>
      <c r="V92" s="404"/>
      <c r="W92" s="404"/>
      <c r="X92" s="404"/>
      <c r="Y92" s="404"/>
      <c r="Z92" s="432"/>
      <c r="AA92" s="404"/>
      <c r="AB92" s="404"/>
      <c r="AC92" s="404"/>
    </row>
    <row r="93" spans="1:29" ht="12.75" customHeight="1" x14ac:dyDescent="0.25">
      <c r="A93" s="395"/>
      <c r="B93" s="395"/>
      <c r="C93" s="417"/>
      <c r="D93" s="412"/>
      <c r="E93" s="395"/>
      <c r="F93" s="412"/>
      <c r="G93" s="412"/>
      <c r="H93" s="412"/>
      <c r="I93" s="412"/>
      <c r="J93" s="412"/>
      <c r="K93" s="404"/>
      <c r="L93" s="404"/>
      <c r="M93" s="404"/>
      <c r="N93" s="404"/>
      <c r="O93" s="404"/>
      <c r="P93" s="404"/>
      <c r="Q93" s="404"/>
      <c r="R93" s="404"/>
      <c r="S93" s="395"/>
      <c r="T93" s="395"/>
      <c r="U93" s="395"/>
      <c r="V93" s="404"/>
      <c r="W93" s="404"/>
      <c r="X93" s="404"/>
      <c r="Y93" s="404"/>
      <c r="Z93" s="432"/>
      <c r="AA93" s="404"/>
      <c r="AB93" s="404"/>
      <c r="AC93" s="404"/>
    </row>
    <row r="94" spans="1:29" ht="12.75" customHeight="1" x14ac:dyDescent="0.25">
      <c r="A94" s="395"/>
      <c r="B94" s="395"/>
      <c r="C94" s="417"/>
      <c r="D94" s="412"/>
      <c r="E94" s="395"/>
      <c r="F94" s="412"/>
      <c r="G94" s="412"/>
      <c r="H94" s="412"/>
      <c r="I94" s="412"/>
      <c r="J94" s="412"/>
      <c r="K94" s="404"/>
      <c r="L94" s="404"/>
      <c r="M94" s="404"/>
      <c r="N94" s="404"/>
      <c r="O94" s="404"/>
      <c r="P94" s="404"/>
      <c r="Q94" s="404"/>
      <c r="R94" s="404"/>
      <c r="S94" s="395"/>
      <c r="T94" s="395"/>
      <c r="U94" s="395"/>
      <c r="V94" s="404"/>
      <c r="W94" s="404"/>
      <c r="X94" s="404"/>
      <c r="Y94" s="404"/>
      <c r="Z94" s="432"/>
      <c r="AA94" s="404"/>
      <c r="AB94" s="404"/>
      <c r="AC94" s="404"/>
    </row>
    <row r="95" spans="1:29" ht="12.75" customHeight="1" x14ac:dyDescent="0.25">
      <c r="A95" s="395"/>
      <c r="B95" s="395"/>
      <c r="C95" s="417"/>
      <c r="D95" s="412"/>
      <c r="E95" s="395"/>
      <c r="F95" s="412"/>
      <c r="G95" s="412"/>
      <c r="H95" s="412"/>
      <c r="I95" s="412"/>
      <c r="J95" s="412"/>
      <c r="K95" s="404"/>
      <c r="L95" s="404"/>
      <c r="M95" s="404"/>
      <c r="N95" s="404"/>
      <c r="O95" s="404"/>
      <c r="P95" s="404"/>
      <c r="Q95" s="404"/>
      <c r="R95" s="404"/>
      <c r="S95" s="395"/>
      <c r="T95" s="395"/>
      <c r="U95" s="395"/>
      <c r="V95" s="404"/>
      <c r="W95" s="404"/>
      <c r="X95" s="404"/>
      <c r="Y95" s="404"/>
      <c r="Z95" s="432"/>
      <c r="AA95" s="404"/>
      <c r="AB95" s="404"/>
      <c r="AC95" s="404"/>
    </row>
    <row r="96" spans="1:29" ht="12.75" customHeight="1" x14ac:dyDescent="0.25">
      <c r="A96" s="395"/>
      <c r="B96" s="395"/>
      <c r="C96" s="417"/>
      <c r="D96" s="412"/>
      <c r="E96" s="395"/>
      <c r="F96" s="412"/>
      <c r="G96" s="412"/>
      <c r="H96" s="412"/>
      <c r="I96" s="412"/>
      <c r="J96" s="412"/>
      <c r="K96" s="404"/>
      <c r="L96" s="404"/>
      <c r="M96" s="404"/>
      <c r="N96" s="404"/>
      <c r="O96" s="404"/>
      <c r="P96" s="404"/>
      <c r="Q96" s="404"/>
      <c r="R96" s="404"/>
      <c r="S96" s="395"/>
      <c r="T96" s="395"/>
      <c r="U96" s="395"/>
      <c r="V96" s="404"/>
      <c r="W96" s="404"/>
      <c r="X96" s="404"/>
      <c r="Y96" s="404"/>
      <c r="Z96" s="432"/>
      <c r="AA96" s="404"/>
      <c r="AB96" s="404"/>
      <c r="AC96" s="404"/>
    </row>
    <row r="97" spans="1:29" ht="12.75" customHeight="1" x14ac:dyDescent="0.25">
      <c r="A97" s="395"/>
      <c r="B97" s="395"/>
      <c r="C97" s="417"/>
      <c r="D97" s="412"/>
      <c r="E97" s="395"/>
      <c r="F97" s="412"/>
      <c r="G97" s="412"/>
      <c r="H97" s="412"/>
      <c r="I97" s="412"/>
      <c r="J97" s="412"/>
      <c r="K97" s="404"/>
      <c r="L97" s="404"/>
      <c r="M97" s="404"/>
      <c r="N97" s="404"/>
      <c r="O97" s="404"/>
      <c r="P97" s="404"/>
      <c r="Q97" s="404"/>
      <c r="R97" s="404"/>
      <c r="S97" s="395"/>
      <c r="T97" s="395"/>
      <c r="U97" s="395"/>
      <c r="V97" s="404"/>
      <c r="W97" s="404"/>
      <c r="X97" s="404"/>
      <c r="Y97" s="404"/>
      <c r="Z97" s="432"/>
      <c r="AA97" s="404"/>
      <c r="AB97" s="404"/>
      <c r="AC97" s="404"/>
    </row>
    <row r="98" spans="1:29" ht="12.75" customHeight="1" x14ac:dyDescent="0.25">
      <c r="A98" s="395"/>
      <c r="B98" s="395"/>
      <c r="C98" s="417"/>
      <c r="D98" s="412"/>
      <c r="E98" s="395"/>
      <c r="F98" s="412"/>
      <c r="G98" s="412"/>
      <c r="H98" s="412"/>
      <c r="I98" s="412"/>
      <c r="J98" s="412"/>
      <c r="K98" s="404"/>
      <c r="L98" s="404"/>
      <c r="M98" s="404"/>
      <c r="N98" s="404"/>
      <c r="O98" s="404"/>
      <c r="P98" s="404"/>
      <c r="Q98" s="404"/>
      <c r="R98" s="404"/>
      <c r="S98" s="395"/>
      <c r="T98" s="395"/>
      <c r="U98" s="395"/>
      <c r="V98" s="404"/>
      <c r="W98" s="404"/>
      <c r="X98" s="404"/>
      <c r="Y98" s="404"/>
      <c r="Z98" s="432"/>
      <c r="AA98" s="404"/>
      <c r="AB98" s="404"/>
      <c r="AC98" s="404"/>
    </row>
    <row r="99" spans="1:29" ht="12.75" customHeight="1" x14ac:dyDescent="0.25">
      <c r="A99" s="395"/>
      <c r="B99" s="395"/>
      <c r="C99" s="417"/>
      <c r="D99" s="412"/>
      <c r="E99" s="395"/>
      <c r="F99" s="412"/>
      <c r="G99" s="412"/>
      <c r="H99" s="412"/>
      <c r="I99" s="412"/>
      <c r="J99" s="412"/>
      <c r="K99" s="404"/>
      <c r="L99" s="404"/>
      <c r="M99" s="404"/>
      <c r="N99" s="404"/>
      <c r="O99" s="404"/>
      <c r="P99" s="404"/>
      <c r="Q99" s="404"/>
      <c r="R99" s="404"/>
      <c r="S99" s="395"/>
      <c r="T99" s="395"/>
      <c r="U99" s="395"/>
      <c r="V99" s="404"/>
      <c r="W99" s="404"/>
      <c r="X99" s="404"/>
      <c r="Y99" s="404"/>
      <c r="Z99" s="432"/>
      <c r="AA99" s="404"/>
      <c r="AB99" s="404"/>
      <c r="AC99" s="404"/>
    </row>
    <row r="100" spans="1:29" ht="12.75" customHeight="1" x14ac:dyDescent="0.25">
      <c r="A100" s="395"/>
      <c r="B100" s="395"/>
      <c r="C100" s="417"/>
      <c r="D100" s="412"/>
      <c r="E100" s="395"/>
      <c r="F100" s="412"/>
      <c r="G100" s="412"/>
      <c r="H100" s="412"/>
      <c r="I100" s="412"/>
      <c r="J100" s="412"/>
      <c r="K100" s="404"/>
      <c r="L100" s="404"/>
      <c r="M100" s="404"/>
      <c r="N100" s="404"/>
      <c r="O100" s="404"/>
      <c r="P100" s="404"/>
      <c r="Q100" s="404"/>
      <c r="R100" s="404"/>
      <c r="S100" s="395"/>
      <c r="T100" s="395"/>
      <c r="U100" s="395"/>
      <c r="V100" s="404"/>
      <c r="W100" s="404"/>
      <c r="X100" s="404"/>
      <c r="Y100" s="404"/>
      <c r="Z100" s="432"/>
      <c r="AA100" s="404"/>
      <c r="AB100" s="404"/>
      <c r="AC100" s="404"/>
    </row>
    <row r="101" spans="1:29" ht="12.75" customHeight="1" x14ac:dyDescent="0.25">
      <c r="A101" s="395"/>
      <c r="B101" s="395"/>
      <c r="C101" s="417"/>
      <c r="D101" s="412"/>
      <c r="E101" s="395"/>
      <c r="F101" s="412"/>
      <c r="G101" s="412"/>
      <c r="H101" s="412"/>
      <c r="I101" s="412"/>
      <c r="J101" s="412"/>
      <c r="K101" s="404"/>
      <c r="L101" s="404"/>
      <c r="M101" s="404"/>
      <c r="N101" s="404"/>
      <c r="O101" s="404"/>
      <c r="P101" s="404"/>
      <c r="Q101" s="404"/>
      <c r="R101" s="404"/>
      <c r="S101" s="395"/>
      <c r="T101" s="395"/>
      <c r="U101" s="395"/>
      <c r="V101" s="404"/>
      <c r="W101" s="404"/>
      <c r="X101" s="404"/>
      <c r="Y101" s="404"/>
      <c r="Z101" s="432"/>
      <c r="AA101" s="404"/>
      <c r="AB101" s="404"/>
      <c r="AC101" s="404"/>
    </row>
    <row r="102" spans="1:29" ht="12.75" customHeight="1" x14ac:dyDescent="0.25">
      <c r="A102" s="395"/>
      <c r="B102" s="395"/>
      <c r="C102" s="417"/>
      <c r="D102" s="412"/>
      <c r="E102" s="395"/>
      <c r="F102" s="412"/>
      <c r="G102" s="412"/>
      <c r="H102" s="412"/>
      <c r="I102" s="412"/>
      <c r="J102" s="412"/>
      <c r="K102" s="404"/>
      <c r="L102" s="404"/>
      <c r="M102" s="404"/>
      <c r="N102" s="404"/>
      <c r="O102" s="404"/>
      <c r="P102" s="404"/>
      <c r="Q102" s="404"/>
      <c r="R102" s="404"/>
      <c r="S102" s="395"/>
      <c r="T102" s="395"/>
      <c r="U102" s="395"/>
      <c r="V102" s="404"/>
      <c r="W102" s="404"/>
      <c r="X102" s="404"/>
      <c r="Y102" s="404"/>
      <c r="Z102" s="432"/>
      <c r="AA102" s="404"/>
      <c r="AB102" s="404"/>
      <c r="AC102" s="404"/>
    </row>
    <row r="103" spans="1:29" ht="12.75" customHeight="1" x14ac:dyDescent="0.25">
      <c r="A103" s="395"/>
      <c r="B103" s="395"/>
      <c r="C103" s="417"/>
      <c r="D103" s="412"/>
      <c r="E103" s="395"/>
      <c r="F103" s="412"/>
      <c r="G103" s="412"/>
      <c r="H103" s="412"/>
      <c r="I103" s="412"/>
      <c r="J103" s="412"/>
      <c r="K103" s="404"/>
      <c r="L103" s="404"/>
      <c r="M103" s="404"/>
      <c r="N103" s="404"/>
      <c r="O103" s="404"/>
      <c r="P103" s="404"/>
      <c r="Q103" s="404"/>
      <c r="R103" s="404"/>
      <c r="S103" s="395"/>
      <c r="T103" s="395"/>
      <c r="U103" s="395"/>
      <c r="V103" s="404"/>
      <c r="W103" s="404"/>
      <c r="X103" s="404"/>
      <c r="Y103" s="404"/>
      <c r="Z103" s="432"/>
      <c r="AA103" s="404"/>
      <c r="AB103" s="404"/>
      <c r="AC103" s="404"/>
    </row>
    <row r="104" spans="1:29" ht="12.75" customHeight="1" x14ac:dyDescent="0.25">
      <c r="A104" s="395"/>
      <c r="B104" s="395"/>
      <c r="C104" s="417"/>
      <c r="D104" s="412"/>
      <c r="E104" s="395"/>
      <c r="F104" s="412"/>
      <c r="G104" s="412"/>
      <c r="H104" s="412"/>
      <c r="I104" s="412"/>
      <c r="J104" s="412"/>
      <c r="K104" s="404"/>
      <c r="L104" s="404"/>
      <c r="M104" s="404"/>
      <c r="N104" s="404"/>
      <c r="O104" s="404"/>
      <c r="P104" s="404"/>
      <c r="Q104" s="404"/>
      <c r="R104" s="404"/>
      <c r="S104" s="395"/>
      <c r="T104" s="395"/>
      <c r="U104" s="395"/>
      <c r="V104" s="404"/>
      <c r="W104" s="404"/>
      <c r="X104" s="404"/>
      <c r="Y104" s="404"/>
      <c r="Z104" s="432"/>
      <c r="AA104" s="404"/>
      <c r="AB104" s="404"/>
      <c r="AC104" s="404"/>
    </row>
    <row r="105" spans="1:29" ht="12.75" customHeight="1" x14ac:dyDescent="0.25">
      <c r="A105" s="395"/>
      <c r="B105" s="395"/>
      <c r="C105" s="417"/>
      <c r="D105" s="412"/>
      <c r="E105" s="395"/>
      <c r="F105" s="412"/>
      <c r="G105" s="412"/>
      <c r="H105" s="412"/>
      <c r="I105" s="412"/>
      <c r="J105" s="412"/>
      <c r="K105" s="404"/>
      <c r="L105" s="404"/>
      <c r="M105" s="404"/>
      <c r="N105" s="404"/>
      <c r="O105" s="404"/>
      <c r="P105" s="404"/>
      <c r="Q105" s="404"/>
      <c r="R105" s="404"/>
      <c r="S105" s="395"/>
      <c r="T105" s="395"/>
      <c r="U105" s="395"/>
      <c r="V105" s="404"/>
      <c r="W105" s="404"/>
      <c r="X105" s="404"/>
      <c r="Y105" s="404"/>
      <c r="Z105" s="432"/>
      <c r="AA105" s="404"/>
      <c r="AB105" s="404"/>
      <c r="AC105" s="404"/>
    </row>
    <row r="106" spans="1:29" ht="12.75" customHeight="1" x14ac:dyDescent="0.25">
      <c r="A106" s="395"/>
      <c r="B106" s="395"/>
      <c r="C106" s="417"/>
      <c r="D106" s="412"/>
      <c r="E106" s="395"/>
      <c r="F106" s="412"/>
      <c r="G106" s="412"/>
      <c r="H106" s="412"/>
      <c r="I106" s="412"/>
      <c r="J106" s="412"/>
      <c r="K106" s="404"/>
      <c r="L106" s="404"/>
      <c r="M106" s="404"/>
      <c r="N106" s="404"/>
      <c r="O106" s="404"/>
      <c r="P106" s="404"/>
      <c r="Q106" s="404"/>
      <c r="R106" s="404"/>
      <c r="S106" s="395"/>
      <c r="T106" s="395"/>
      <c r="U106" s="395"/>
      <c r="V106" s="404"/>
      <c r="W106" s="404"/>
      <c r="X106" s="404"/>
      <c r="Y106" s="404"/>
      <c r="Z106" s="432"/>
      <c r="AA106" s="404"/>
      <c r="AB106" s="404"/>
      <c r="AC106" s="404"/>
    </row>
    <row r="107" spans="1:29" ht="12.75" customHeight="1" x14ac:dyDescent="0.25">
      <c r="A107" s="395"/>
      <c r="B107" s="395"/>
      <c r="C107" s="417"/>
      <c r="D107" s="412"/>
      <c r="E107" s="395"/>
      <c r="F107" s="412"/>
      <c r="G107" s="412"/>
      <c r="H107" s="412"/>
      <c r="I107" s="412"/>
      <c r="J107" s="412"/>
      <c r="K107" s="404"/>
      <c r="L107" s="404"/>
      <c r="M107" s="404"/>
      <c r="N107" s="404"/>
      <c r="O107" s="404"/>
      <c r="P107" s="404"/>
      <c r="Q107" s="404"/>
      <c r="R107" s="404"/>
      <c r="S107" s="395"/>
      <c r="T107" s="395"/>
      <c r="U107" s="395"/>
      <c r="V107" s="404"/>
      <c r="W107" s="404"/>
      <c r="X107" s="404"/>
      <c r="Y107" s="404"/>
      <c r="Z107" s="432"/>
      <c r="AA107" s="404"/>
      <c r="AB107" s="404"/>
      <c r="AC107" s="404"/>
    </row>
    <row r="108" spans="1:29" ht="12.75" customHeight="1" x14ac:dyDescent="0.25">
      <c r="A108" s="395"/>
      <c r="B108" s="395"/>
      <c r="C108" s="417"/>
      <c r="D108" s="412"/>
      <c r="E108" s="395"/>
      <c r="F108" s="412"/>
      <c r="G108" s="412"/>
      <c r="H108" s="412"/>
      <c r="I108" s="412"/>
      <c r="J108" s="412"/>
      <c r="K108" s="404"/>
      <c r="L108" s="404"/>
      <c r="M108" s="404"/>
      <c r="N108" s="404"/>
      <c r="O108" s="404"/>
      <c r="P108" s="404"/>
      <c r="Q108" s="404"/>
      <c r="R108" s="404"/>
      <c r="S108" s="395"/>
      <c r="T108" s="395"/>
      <c r="U108" s="395"/>
      <c r="V108" s="404"/>
      <c r="W108" s="404"/>
      <c r="X108" s="404"/>
      <c r="Y108" s="404"/>
      <c r="Z108" s="432"/>
      <c r="AA108" s="404"/>
      <c r="AB108" s="404"/>
      <c r="AC108" s="404"/>
    </row>
    <row r="109" spans="1:29" ht="12.75" customHeight="1" x14ac:dyDescent="0.25">
      <c r="A109" s="395"/>
      <c r="B109" s="395"/>
      <c r="C109" s="417"/>
      <c r="D109" s="412"/>
      <c r="E109" s="395"/>
      <c r="F109" s="412"/>
      <c r="G109" s="412"/>
      <c r="H109" s="412"/>
      <c r="I109" s="412"/>
      <c r="J109" s="412"/>
      <c r="K109" s="404"/>
      <c r="L109" s="404"/>
      <c r="M109" s="404"/>
      <c r="N109" s="404"/>
      <c r="O109" s="404"/>
      <c r="P109" s="404"/>
      <c r="Q109" s="404"/>
      <c r="R109" s="404"/>
      <c r="S109" s="395"/>
      <c r="T109" s="395"/>
      <c r="U109" s="395"/>
      <c r="V109" s="404"/>
      <c r="W109" s="404"/>
      <c r="X109" s="404"/>
      <c r="Y109" s="404"/>
      <c r="Z109" s="432"/>
      <c r="AA109" s="404"/>
      <c r="AB109" s="404"/>
      <c r="AC109" s="404"/>
    </row>
    <row r="110" spans="1:29" ht="12.75" customHeight="1" x14ac:dyDescent="0.25">
      <c r="A110" s="395"/>
      <c r="B110" s="395"/>
      <c r="C110" s="417"/>
      <c r="D110" s="412"/>
      <c r="E110" s="395"/>
      <c r="F110" s="412"/>
      <c r="G110" s="412"/>
      <c r="H110" s="412"/>
      <c r="I110" s="412"/>
      <c r="J110" s="412"/>
      <c r="K110" s="404"/>
      <c r="L110" s="404"/>
      <c r="M110" s="404"/>
      <c r="N110" s="404"/>
      <c r="O110" s="404"/>
      <c r="P110" s="404"/>
      <c r="Q110" s="404"/>
      <c r="R110" s="404"/>
      <c r="S110" s="395"/>
      <c r="T110" s="395"/>
      <c r="U110" s="395"/>
      <c r="V110" s="404"/>
      <c r="W110" s="404"/>
      <c r="X110" s="404"/>
      <c r="Y110" s="404"/>
      <c r="Z110" s="432"/>
      <c r="AA110" s="404"/>
      <c r="AB110" s="404"/>
      <c r="AC110" s="404"/>
    </row>
    <row r="111" spans="1:29" ht="12.75" customHeight="1" x14ac:dyDescent="0.25">
      <c r="A111" s="395"/>
      <c r="B111" s="395"/>
      <c r="C111" s="417"/>
      <c r="D111" s="412"/>
      <c r="E111" s="395"/>
      <c r="F111" s="412"/>
      <c r="G111" s="412"/>
      <c r="H111" s="412"/>
      <c r="I111" s="412"/>
      <c r="J111" s="412"/>
      <c r="K111" s="404"/>
      <c r="L111" s="404"/>
      <c r="M111" s="404"/>
      <c r="N111" s="404"/>
      <c r="O111" s="404"/>
      <c r="P111" s="404"/>
      <c r="Q111" s="404"/>
      <c r="R111" s="404"/>
      <c r="S111" s="395"/>
      <c r="T111" s="395"/>
      <c r="U111" s="395"/>
      <c r="V111" s="404"/>
      <c r="W111" s="404"/>
      <c r="X111" s="404"/>
      <c r="Y111" s="404"/>
      <c r="Z111" s="432"/>
      <c r="AA111" s="404"/>
      <c r="AB111" s="404"/>
      <c r="AC111" s="404"/>
    </row>
    <row r="112" spans="1:29" ht="12.75" customHeight="1" x14ac:dyDescent="0.25">
      <c r="A112" s="395"/>
      <c r="B112" s="395"/>
      <c r="C112" s="417"/>
      <c r="D112" s="412"/>
      <c r="E112" s="395"/>
      <c r="F112" s="412"/>
      <c r="G112" s="412"/>
      <c r="H112" s="412"/>
      <c r="I112" s="412"/>
      <c r="J112" s="412"/>
      <c r="K112" s="404"/>
      <c r="L112" s="404"/>
      <c r="M112" s="404"/>
      <c r="N112" s="404"/>
      <c r="O112" s="404"/>
      <c r="P112" s="404"/>
      <c r="Q112" s="404"/>
      <c r="R112" s="404"/>
      <c r="S112" s="395"/>
      <c r="T112" s="395"/>
      <c r="U112" s="395"/>
      <c r="V112" s="404"/>
      <c r="W112" s="404"/>
      <c r="X112" s="404"/>
      <c r="Y112" s="404"/>
      <c r="Z112" s="432"/>
      <c r="AA112" s="404"/>
      <c r="AB112" s="404"/>
      <c r="AC112" s="404"/>
    </row>
    <row r="113" spans="1:29" ht="12.75" customHeight="1" x14ac:dyDescent="0.25">
      <c r="A113" s="395"/>
      <c r="B113" s="395"/>
      <c r="C113" s="417"/>
      <c r="D113" s="412"/>
      <c r="E113" s="395"/>
      <c r="F113" s="412"/>
      <c r="G113" s="412"/>
      <c r="H113" s="412"/>
      <c r="I113" s="412"/>
      <c r="J113" s="412"/>
      <c r="K113" s="404"/>
      <c r="L113" s="404"/>
      <c r="M113" s="404"/>
      <c r="N113" s="404"/>
      <c r="O113" s="404"/>
      <c r="P113" s="404"/>
      <c r="Q113" s="404"/>
      <c r="R113" s="404"/>
      <c r="S113" s="395"/>
      <c r="T113" s="395"/>
      <c r="U113" s="395"/>
      <c r="V113" s="404"/>
      <c r="W113" s="404"/>
      <c r="X113" s="404"/>
      <c r="Y113" s="404"/>
      <c r="Z113" s="432"/>
      <c r="AA113" s="404"/>
      <c r="AB113" s="404"/>
      <c r="AC113" s="404"/>
    </row>
    <row r="114" spans="1:29" ht="12.75" customHeight="1" x14ac:dyDescent="0.25">
      <c r="A114" s="395"/>
      <c r="B114" s="395"/>
      <c r="C114" s="417"/>
      <c r="D114" s="412"/>
      <c r="E114" s="395"/>
      <c r="F114" s="412"/>
      <c r="G114" s="412"/>
      <c r="H114" s="412"/>
      <c r="I114" s="412"/>
      <c r="J114" s="412"/>
      <c r="K114" s="404"/>
      <c r="L114" s="404"/>
      <c r="M114" s="404"/>
      <c r="N114" s="404"/>
      <c r="O114" s="404"/>
      <c r="P114" s="404"/>
      <c r="Q114" s="404"/>
      <c r="R114" s="404"/>
      <c r="S114" s="395"/>
      <c r="T114" s="395"/>
      <c r="U114" s="395"/>
      <c r="V114" s="404"/>
      <c r="W114" s="404"/>
      <c r="X114" s="404"/>
      <c r="Y114" s="404"/>
      <c r="Z114" s="432"/>
      <c r="AA114" s="404"/>
      <c r="AB114" s="404"/>
      <c r="AC114" s="404"/>
    </row>
    <row r="115" spans="1:29" ht="12.75" customHeight="1" x14ac:dyDescent="0.25">
      <c r="A115" s="395"/>
      <c r="B115" s="395"/>
      <c r="C115" s="417"/>
      <c r="D115" s="412"/>
      <c r="E115" s="395"/>
      <c r="F115" s="412"/>
      <c r="G115" s="412"/>
      <c r="H115" s="412"/>
      <c r="I115" s="412"/>
      <c r="J115" s="412"/>
      <c r="K115" s="404"/>
      <c r="L115" s="404"/>
      <c r="M115" s="404"/>
      <c r="N115" s="404"/>
      <c r="O115" s="404"/>
      <c r="P115" s="404"/>
      <c r="Q115" s="404"/>
      <c r="R115" s="404"/>
      <c r="S115" s="395"/>
      <c r="T115" s="395"/>
      <c r="U115" s="395"/>
      <c r="V115" s="404"/>
      <c r="W115" s="404"/>
      <c r="X115" s="404"/>
      <c r="Y115" s="404"/>
      <c r="Z115" s="432"/>
      <c r="AA115" s="404"/>
      <c r="AB115" s="404"/>
      <c r="AC115" s="404"/>
    </row>
    <row r="116" spans="1:29" ht="12.75" customHeight="1" x14ac:dyDescent="0.25">
      <c r="A116" s="395"/>
      <c r="B116" s="395"/>
      <c r="C116" s="417"/>
      <c r="D116" s="412"/>
      <c r="E116" s="395"/>
      <c r="F116" s="412"/>
      <c r="G116" s="412"/>
      <c r="H116" s="412"/>
      <c r="I116" s="412"/>
      <c r="J116" s="412"/>
      <c r="K116" s="404"/>
      <c r="L116" s="404"/>
      <c r="M116" s="404"/>
      <c r="N116" s="404"/>
      <c r="O116" s="404"/>
      <c r="P116" s="404"/>
      <c r="Q116" s="404"/>
      <c r="R116" s="404"/>
      <c r="S116" s="395"/>
      <c r="T116" s="395"/>
      <c r="U116" s="395"/>
      <c r="V116" s="404"/>
      <c r="W116" s="404"/>
      <c r="X116" s="404"/>
      <c r="Y116" s="404"/>
      <c r="Z116" s="432"/>
      <c r="AA116" s="404"/>
      <c r="AB116" s="404"/>
      <c r="AC116" s="404"/>
    </row>
    <row r="117" spans="1:29" ht="12.75" customHeight="1" x14ac:dyDescent="0.25">
      <c r="A117" s="395"/>
      <c r="B117" s="395"/>
      <c r="C117" s="417"/>
      <c r="D117" s="412"/>
      <c r="E117" s="395"/>
      <c r="F117" s="412"/>
      <c r="G117" s="412"/>
      <c r="H117" s="412"/>
      <c r="I117" s="412"/>
      <c r="J117" s="412"/>
      <c r="K117" s="404"/>
      <c r="L117" s="404"/>
      <c r="M117" s="404"/>
      <c r="N117" s="404"/>
      <c r="O117" s="404"/>
      <c r="P117" s="404"/>
      <c r="Q117" s="404"/>
      <c r="R117" s="404"/>
      <c r="S117" s="395"/>
      <c r="T117" s="395"/>
      <c r="U117" s="395"/>
      <c r="V117" s="404"/>
      <c r="W117" s="404"/>
      <c r="X117" s="404"/>
      <c r="Y117" s="404"/>
      <c r="Z117" s="432"/>
      <c r="AA117" s="404"/>
      <c r="AB117" s="404"/>
      <c r="AC117" s="404"/>
    </row>
    <row r="118" spans="1:29" ht="12.75" customHeight="1" x14ac:dyDescent="0.25">
      <c r="A118" s="395"/>
      <c r="B118" s="395"/>
      <c r="C118" s="417"/>
      <c r="D118" s="412"/>
      <c r="E118" s="395"/>
      <c r="F118" s="412"/>
      <c r="G118" s="412"/>
      <c r="H118" s="412"/>
      <c r="I118" s="412"/>
      <c r="J118" s="412"/>
      <c r="K118" s="404"/>
      <c r="L118" s="404"/>
      <c r="M118" s="404"/>
      <c r="N118" s="404"/>
      <c r="O118" s="404"/>
      <c r="P118" s="404"/>
      <c r="Q118" s="404"/>
      <c r="R118" s="404"/>
      <c r="S118" s="395"/>
      <c r="T118" s="395"/>
      <c r="U118" s="395"/>
      <c r="V118" s="404"/>
      <c r="W118" s="404"/>
      <c r="X118" s="404"/>
      <c r="Y118" s="404"/>
      <c r="Z118" s="432"/>
      <c r="AA118" s="404"/>
      <c r="AB118" s="404"/>
      <c r="AC118" s="404"/>
    </row>
    <row r="119" spans="1:29" ht="12.75" customHeight="1" x14ac:dyDescent="0.25">
      <c r="A119" s="395"/>
      <c r="B119" s="395"/>
      <c r="C119" s="417"/>
      <c r="D119" s="412"/>
      <c r="E119" s="395"/>
      <c r="F119" s="412"/>
      <c r="G119" s="412"/>
      <c r="H119" s="412"/>
      <c r="I119" s="412"/>
      <c r="J119" s="412"/>
      <c r="K119" s="404"/>
      <c r="L119" s="404"/>
      <c r="M119" s="404"/>
      <c r="N119" s="404"/>
      <c r="O119" s="404"/>
      <c r="P119" s="404"/>
      <c r="Q119" s="404"/>
      <c r="R119" s="404"/>
      <c r="S119" s="395"/>
      <c r="T119" s="395"/>
      <c r="U119" s="395"/>
      <c r="V119" s="404"/>
      <c r="W119" s="404"/>
      <c r="X119" s="404"/>
      <c r="Y119" s="404"/>
      <c r="Z119" s="432"/>
      <c r="AA119" s="404"/>
      <c r="AB119" s="404"/>
      <c r="AC119" s="404"/>
    </row>
    <row r="120" spans="1:29" ht="12.75" customHeight="1" x14ac:dyDescent="0.25">
      <c r="A120" s="395"/>
      <c r="B120" s="395"/>
      <c r="C120" s="417"/>
      <c r="D120" s="412"/>
      <c r="E120" s="395"/>
      <c r="F120" s="412"/>
      <c r="G120" s="412"/>
      <c r="H120" s="412"/>
      <c r="I120" s="412"/>
      <c r="J120" s="412"/>
      <c r="K120" s="404"/>
      <c r="L120" s="404"/>
      <c r="M120" s="404"/>
      <c r="N120" s="404"/>
      <c r="O120" s="404"/>
      <c r="P120" s="404"/>
      <c r="Q120" s="404"/>
      <c r="R120" s="404"/>
      <c r="S120" s="395"/>
      <c r="T120" s="395"/>
      <c r="U120" s="395"/>
      <c r="V120" s="404"/>
      <c r="W120" s="404"/>
      <c r="X120" s="404"/>
      <c r="Y120" s="404"/>
      <c r="Z120" s="432"/>
      <c r="AA120" s="404"/>
      <c r="AB120" s="404"/>
      <c r="AC120" s="404"/>
    </row>
    <row r="121" spans="1:29" ht="12.75" customHeight="1" x14ac:dyDescent="0.25">
      <c r="A121" s="395"/>
      <c r="B121" s="395"/>
      <c r="C121" s="417"/>
      <c r="D121" s="412"/>
      <c r="E121" s="395"/>
      <c r="F121" s="412"/>
      <c r="G121" s="412"/>
      <c r="H121" s="412"/>
      <c r="I121" s="412"/>
      <c r="J121" s="412"/>
      <c r="K121" s="404"/>
      <c r="L121" s="404"/>
      <c r="M121" s="404"/>
      <c r="N121" s="404"/>
      <c r="O121" s="404"/>
      <c r="P121" s="404"/>
      <c r="Q121" s="404"/>
      <c r="R121" s="404"/>
      <c r="S121" s="395"/>
      <c r="T121" s="395"/>
      <c r="U121" s="395"/>
      <c r="V121" s="404"/>
      <c r="W121" s="404"/>
      <c r="X121" s="404"/>
      <c r="Y121" s="404"/>
      <c r="Z121" s="432"/>
      <c r="AA121" s="404"/>
      <c r="AB121" s="404"/>
      <c r="AC121" s="404"/>
    </row>
    <row r="122" spans="1:29" ht="12.75" customHeight="1" x14ac:dyDescent="0.25">
      <c r="A122" s="395"/>
      <c r="B122" s="395"/>
      <c r="C122" s="417"/>
      <c r="D122" s="412"/>
      <c r="E122" s="395"/>
      <c r="F122" s="412"/>
      <c r="G122" s="412"/>
      <c r="H122" s="412"/>
      <c r="I122" s="412"/>
      <c r="J122" s="412"/>
      <c r="K122" s="404"/>
      <c r="L122" s="404"/>
      <c r="M122" s="404"/>
      <c r="N122" s="404"/>
      <c r="O122" s="404"/>
      <c r="P122" s="404"/>
      <c r="Q122" s="404"/>
      <c r="R122" s="404"/>
      <c r="S122" s="395"/>
      <c r="T122" s="395"/>
      <c r="U122" s="395"/>
      <c r="V122" s="404"/>
      <c r="W122" s="404"/>
      <c r="X122" s="404"/>
      <c r="Y122" s="404"/>
      <c r="Z122" s="432"/>
      <c r="AA122" s="404"/>
      <c r="AB122" s="404"/>
      <c r="AC122" s="404"/>
    </row>
    <row r="123" spans="1:29" ht="12.75" customHeight="1" x14ac:dyDescent="0.25">
      <c r="A123" s="395"/>
      <c r="B123" s="395"/>
      <c r="C123" s="417"/>
      <c r="D123" s="412"/>
      <c r="E123" s="395"/>
      <c r="F123" s="412"/>
      <c r="G123" s="412"/>
      <c r="H123" s="412"/>
      <c r="I123" s="412"/>
      <c r="J123" s="412"/>
      <c r="K123" s="404"/>
      <c r="L123" s="404"/>
      <c r="M123" s="404"/>
      <c r="N123" s="404"/>
      <c r="O123" s="404"/>
      <c r="P123" s="404"/>
      <c r="Q123" s="404"/>
      <c r="R123" s="404"/>
      <c r="S123" s="395"/>
      <c r="T123" s="395"/>
      <c r="U123" s="395"/>
      <c r="V123" s="404"/>
      <c r="W123" s="404"/>
      <c r="X123" s="404"/>
      <c r="Y123" s="404"/>
      <c r="Z123" s="432"/>
      <c r="AA123" s="404"/>
      <c r="AB123" s="404"/>
      <c r="AC123" s="404"/>
    </row>
    <row r="124" spans="1:29" ht="12.75" customHeight="1" x14ac:dyDescent="0.25">
      <c r="A124" s="395"/>
      <c r="B124" s="395"/>
      <c r="C124" s="417"/>
      <c r="D124" s="412"/>
      <c r="E124" s="395"/>
      <c r="F124" s="412"/>
      <c r="G124" s="412"/>
      <c r="H124" s="412"/>
      <c r="I124" s="412"/>
      <c r="J124" s="412"/>
      <c r="K124" s="404"/>
      <c r="L124" s="404"/>
      <c r="M124" s="404"/>
      <c r="N124" s="404"/>
      <c r="O124" s="404"/>
      <c r="P124" s="404"/>
      <c r="Q124" s="404"/>
      <c r="R124" s="404"/>
      <c r="S124" s="395"/>
      <c r="T124" s="395"/>
      <c r="U124" s="395"/>
      <c r="V124" s="404"/>
      <c r="W124" s="404"/>
      <c r="X124" s="404"/>
      <c r="Y124" s="404"/>
      <c r="Z124" s="432"/>
      <c r="AA124" s="404"/>
      <c r="AB124" s="404"/>
      <c r="AC124" s="404"/>
    </row>
    <row r="125" spans="1:29" ht="12.75" customHeight="1" x14ac:dyDescent="0.25">
      <c r="A125" s="395"/>
      <c r="B125" s="395"/>
      <c r="C125" s="417"/>
      <c r="D125" s="412"/>
      <c r="E125" s="395"/>
      <c r="F125" s="412"/>
      <c r="G125" s="412"/>
      <c r="H125" s="412"/>
      <c r="I125" s="412"/>
      <c r="J125" s="412"/>
      <c r="K125" s="404"/>
      <c r="L125" s="404"/>
      <c r="M125" s="404"/>
      <c r="N125" s="404"/>
      <c r="O125" s="404"/>
      <c r="P125" s="404"/>
      <c r="Q125" s="404"/>
      <c r="R125" s="404"/>
      <c r="S125" s="395"/>
      <c r="T125" s="395"/>
      <c r="U125" s="395"/>
      <c r="V125" s="404"/>
      <c r="W125" s="404"/>
      <c r="X125" s="404"/>
      <c r="Y125" s="404"/>
      <c r="Z125" s="432"/>
      <c r="AA125" s="404"/>
      <c r="AB125" s="404"/>
      <c r="AC125" s="404"/>
    </row>
    <row r="126" spans="1:29" ht="12.75" customHeight="1" x14ac:dyDescent="0.25">
      <c r="A126" s="395"/>
      <c r="B126" s="395"/>
      <c r="C126" s="417"/>
      <c r="D126" s="412"/>
      <c r="E126" s="395"/>
      <c r="F126" s="412"/>
      <c r="G126" s="412"/>
      <c r="H126" s="412"/>
      <c r="I126" s="412"/>
      <c r="J126" s="412"/>
      <c r="K126" s="404"/>
      <c r="L126" s="404"/>
      <c r="M126" s="404"/>
      <c r="N126" s="404"/>
      <c r="O126" s="404"/>
      <c r="P126" s="404"/>
      <c r="Q126" s="404"/>
      <c r="R126" s="404"/>
      <c r="S126" s="395"/>
      <c r="T126" s="395"/>
      <c r="U126" s="395"/>
      <c r="V126" s="404"/>
      <c r="W126" s="404"/>
      <c r="X126" s="404"/>
      <c r="Y126" s="404"/>
      <c r="Z126" s="432"/>
      <c r="AA126" s="404"/>
      <c r="AB126" s="404"/>
      <c r="AC126" s="404"/>
    </row>
    <row r="127" spans="1:29" ht="12.75" customHeight="1" x14ac:dyDescent="0.25">
      <c r="A127" s="395"/>
      <c r="B127" s="395"/>
      <c r="C127" s="417"/>
      <c r="D127" s="412"/>
      <c r="E127" s="395"/>
      <c r="F127" s="412"/>
      <c r="G127" s="412"/>
      <c r="H127" s="412"/>
      <c r="I127" s="412"/>
      <c r="J127" s="412"/>
      <c r="K127" s="404"/>
      <c r="L127" s="404"/>
      <c r="M127" s="404"/>
      <c r="N127" s="404"/>
      <c r="O127" s="404"/>
      <c r="P127" s="404"/>
      <c r="Q127" s="404"/>
      <c r="R127" s="404"/>
      <c r="S127" s="395"/>
      <c r="T127" s="395"/>
      <c r="U127" s="395"/>
      <c r="V127" s="404"/>
      <c r="W127" s="404"/>
      <c r="X127" s="404"/>
      <c r="Y127" s="404"/>
      <c r="Z127" s="432"/>
      <c r="AA127" s="404"/>
      <c r="AB127" s="404"/>
      <c r="AC127" s="404"/>
    </row>
    <row r="128" spans="1:29" ht="12.75" customHeight="1" x14ac:dyDescent="0.25">
      <c r="A128" s="395"/>
      <c r="B128" s="395"/>
      <c r="C128" s="417"/>
      <c r="D128" s="412"/>
      <c r="E128" s="395"/>
      <c r="F128" s="412"/>
      <c r="G128" s="412"/>
      <c r="H128" s="412"/>
      <c r="I128" s="412"/>
      <c r="J128" s="412"/>
      <c r="K128" s="404"/>
      <c r="L128" s="404"/>
      <c r="M128" s="404"/>
      <c r="N128" s="404"/>
      <c r="O128" s="404"/>
      <c r="P128" s="404"/>
      <c r="Q128" s="404"/>
      <c r="R128" s="404"/>
      <c r="S128" s="395"/>
      <c r="T128" s="395"/>
      <c r="U128" s="395"/>
      <c r="V128" s="404"/>
      <c r="W128" s="404"/>
      <c r="X128" s="404"/>
      <c r="Y128" s="404"/>
      <c r="Z128" s="432"/>
      <c r="AA128" s="404"/>
      <c r="AB128" s="404"/>
      <c r="AC128" s="404"/>
    </row>
    <row r="129" spans="1:29" ht="12.75" customHeight="1" x14ac:dyDescent="0.25">
      <c r="A129" s="395"/>
      <c r="B129" s="395"/>
      <c r="C129" s="417"/>
      <c r="D129" s="412"/>
      <c r="E129" s="395"/>
      <c r="F129" s="412"/>
      <c r="G129" s="412"/>
      <c r="H129" s="412"/>
      <c r="I129" s="412"/>
      <c r="J129" s="412"/>
      <c r="K129" s="404"/>
      <c r="L129" s="404"/>
      <c r="M129" s="404"/>
      <c r="N129" s="404"/>
      <c r="O129" s="404"/>
      <c r="P129" s="404"/>
      <c r="Q129" s="404"/>
      <c r="R129" s="404"/>
      <c r="S129" s="395"/>
      <c r="T129" s="395"/>
      <c r="U129" s="395"/>
      <c r="V129" s="404"/>
      <c r="W129" s="404"/>
      <c r="X129" s="404"/>
      <c r="Y129" s="404"/>
      <c r="Z129" s="432"/>
      <c r="AA129" s="404"/>
      <c r="AB129" s="404"/>
      <c r="AC129" s="404"/>
    </row>
    <row r="130" spans="1:29" ht="12.75" customHeight="1" x14ac:dyDescent="0.25">
      <c r="A130" s="395"/>
      <c r="B130" s="395"/>
      <c r="C130" s="417"/>
      <c r="D130" s="412"/>
      <c r="E130" s="395"/>
      <c r="F130" s="412"/>
      <c r="G130" s="412"/>
      <c r="H130" s="412"/>
      <c r="I130" s="412"/>
      <c r="J130" s="412"/>
      <c r="K130" s="404"/>
      <c r="L130" s="404"/>
      <c r="M130" s="404"/>
      <c r="N130" s="404"/>
      <c r="O130" s="404"/>
      <c r="P130" s="404"/>
      <c r="Q130" s="404"/>
      <c r="R130" s="404"/>
      <c r="S130" s="395"/>
      <c r="T130" s="395"/>
      <c r="U130" s="395"/>
      <c r="V130" s="404"/>
      <c r="W130" s="404"/>
      <c r="X130" s="404"/>
      <c r="Y130" s="404"/>
      <c r="Z130" s="432"/>
      <c r="AA130" s="404"/>
      <c r="AB130" s="404"/>
      <c r="AC130" s="404"/>
    </row>
    <row r="131" spans="1:29" ht="12.75" customHeight="1" x14ac:dyDescent="0.25">
      <c r="A131" s="395"/>
      <c r="B131" s="395"/>
      <c r="C131" s="417"/>
      <c r="D131" s="412"/>
      <c r="E131" s="395"/>
      <c r="F131" s="412"/>
      <c r="G131" s="412"/>
      <c r="H131" s="412"/>
      <c r="I131" s="412"/>
      <c r="J131" s="412"/>
      <c r="K131" s="404"/>
      <c r="L131" s="404"/>
      <c r="M131" s="404"/>
      <c r="N131" s="404"/>
      <c r="O131" s="404"/>
      <c r="P131" s="404"/>
      <c r="Q131" s="404"/>
      <c r="R131" s="404"/>
      <c r="S131" s="395"/>
      <c r="T131" s="395"/>
      <c r="U131" s="395"/>
      <c r="V131" s="404"/>
      <c r="W131" s="404"/>
      <c r="X131" s="404"/>
      <c r="Y131" s="404"/>
      <c r="Z131" s="432"/>
      <c r="AA131" s="404"/>
      <c r="AB131" s="404"/>
      <c r="AC131" s="404"/>
    </row>
    <row r="132" spans="1:29" ht="12.75" customHeight="1" x14ac:dyDescent="0.25">
      <c r="A132" s="395"/>
      <c r="B132" s="395"/>
      <c r="C132" s="417"/>
      <c r="D132" s="412"/>
      <c r="E132" s="395"/>
      <c r="F132" s="412"/>
      <c r="G132" s="412"/>
      <c r="H132" s="412"/>
      <c r="I132" s="412"/>
      <c r="J132" s="412"/>
      <c r="K132" s="404"/>
      <c r="L132" s="404"/>
      <c r="M132" s="404"/>
      <c r="N132" s="404"/>
      <c r="O132" s="404"/>
      <c r="P132" s="404"/>
      <c r="Q132" s="404"/>
      <c r="R132" s="404"/>
      <c r="S132" s="395"/>
      <c r="T132" s="395"/>
      <c r="U132" s="395"/>
      <c r="V132" s="404"/>
      <c r="W132" s="404"/>
      <c r="X132" s="404"/>
      <c r="Y132" s="404"/>
      <c r="Z132" s="432"/>
      <c r="AA132" s="404"/>
      <c r="AB132" s="404"/>
      <c r="AC132" s="404"/>
    </row>
    <row r="133" spans="1:29" ht="12.75" customHeight="1" x14ac:dyDescent="0.25">
      <c r="A133" s="395"/>
      <c r="B133" s="395"/>
      <c r="C133" s="417"/>
      <c r="D133" s="412"/>
      <c r="E133" s="395"/>
      <c r="F133" s="412"/>
      <c r="G133" s="412"/>
      <c r="H133" s="412"/>
      <c r="I133" s="412"/>
      <c r="J133" s="412"/>
      <c r="K133" s="404"/>
      <c r="L133" s="404"/>
      <c r="M133" s="404"/>
      <c r="N133" s="404"/>
      <c r="O133" s="404"/>
      <c r="P133" s="404"/>
      <c r="Q133" s="404"/>
      <c r="R133" s="404"/>
      <c r="S133" s="395"/>
      <c r="T133" s="395"/>
      <c r="U133" s="395"/>
      <c r="V133" s="404"/>
      <c r="W133" s="404"/>
      <c r="X133" s="404"/>
      <c r="Y133" s="404"/>
      <c r="Z133" s="432"/>
      <c r="AA133" s="404"/>
      <c r="AB133" s="404"/>
      <c r="AC133" s="404"/>
    </row>
    <row r="134" spans="1:29" ht="12.75" customHeight="1" x14ac:dyDescent="0.25">
      <c r="A134" s="395"/>
      <c r="B134" s="395"/>
      <c r="C134" s="417"/>
      <c r="D134" s="412"/>
      <c r="E134" s="395"/>
      <c r="F134" s="412"/>
      <c r="G134" s="412"/>
      <c r="H134" s="412"/>
      <c r="I134" s="412"/>
      <c r="J134" s="412"/>
      <c r="K134" s="404"/>
      <c r="L134" s="404"/>
      <c r="M134" s="404"/>
      <c r="N134" s="404"/>
      <c r="O134" s="404"/>
      <c r="P134" s="404"/>
      <c r="Q134" s="404"/>
      <c r="R134" s="404"/>
      <c r="S134" s="395"/>
      <c r="T134" s="395"/>
      <c r="U134" s="395"/>
      <c r="V134" s="404"/>
      <c r="W134" s="404"/>
      <c r="X134" s="404"/>
      <c r="Y134" s="404"/>
      <c r="Z134" s="432"/>
      <c r="AA134" s="404"/>
      <c r="AB134" s="404"/>
      <c r="AC134" s="404"/>
    </row>
    <row r="135" spans="1:29" ht="12.75" customHeight="1" x14ac:dyDescent="0.25">
      <c r="A135" s="395"/>
      <c r="B135" s="395"/>
      <c r="C135" s="417"/>
      <c r="D135" s="412"/>
      <c r="E135" s="395"/>
      <c r="F135" s="412"/>
      <c r="G135" s="412"/>
      <c r="H135" s="412"/>
      <c r="I135" s="412"/>
      <c r="J135" s="412"/>
      <c r="K135" s="404"/>
      <c r="L135" s="404"/>
      <c r="M135" s="404"/>
      <c r="N135" s="404"/>
      <c r="O135" s="404"/>
      <c r="P135" s="404"/>
      <c r="Q135" s="404"/>
      <c r="R135" s="404"/>
      <c r="S135" s="395"/>
      <c r="T135" s="395"/>
      <c r="U135" s="395"/>
      <c r="V135" s="404"/>
      <c r="W135" s="404"/>
      <c r="X135" s="404"/>
      <c r="Y135" s="404"/>
      <c r="Z135" s="432"/>
      <c r="AA135" s="404"/>
      <c r="AB135" s="404"/>
      <c r="AC135" s="404"/>
    </row>
    <row r="136" spans="1:29" ht="12.75" customHeight="1" x14ac:dyDescent="0.25">
      <c r="A136" s="395"/>
      <c r="B136" s="395"/>
      <c r="C136" s="417"/>
      <c r="D136" s="412"/>
      <c r="E136" s="395"/>
      <c r="F136" s="412"/>
      <c r="G136" s="412"/>
      <c r="H136" s="412"/>
      <c r="I136" s="412"/>
      <c r="J136" s="412"/>
      <c r="K136" s="404"/>
      <c r="L136" s="404"/>
      <c r="M136" s="404"/>
      <c r="N136" s="404"/>
      <c r="O136" s="404"/>
      <c r="P136" s="404"/>
      <c r="Q136" s="404"/>
      <c r="R136" s="404"/>
      <c r="S136" s="395"/>
      <c r="T136" s="395"/>
      <c r="U136" s="395"/>
      <c r="V136" s="404"/>
      <c r="W136" s="404"/>
      <c r="X136" s="404"/>
      <c r="Y136" s="404"/>
      <c r="Z136" s="432"/>
      <c r="AA136" s="404"/>
      <c r="AB136" s="404"/>
      <c r="AC136" s="404"/>
    </row>
    <row r="137" spans="1:29" ht="12.75" customHeight="1" x14ac:dyDescent="0.25">
      <c r="A137" s="395"/>
      <c r="B137" s="395"/>
      <c r="C137" s="417"/>
      <c r="D137" s="412"/>
      <c r="E137" s="395"/>
      <c r="F137" s="412"/>
      <c r="G137" s="412"/>
      <c r="H137" s="412"/>
      <c r="I137" s="412"/>
      <c r="J137" s="412"/>
      <c r="K137" s="404"/>
      <c r="L137" s="404"/>
      <c r="M137" s="404"/>
      <c r="N137" s="404"/>
      <c r="O137" s="404"/>
      <c r="P137" s="404"/>
      <c r="Q137" s="404"/>
      <c r="R137" s="404"/>
      <c r="S137" s="395"/>
      <c r="T137" s="395"/>
      <c r="U137" s="395"/>
      <c r="V137" s="404"/>
      <c r="W137" s="404"/>
      <c r="X137" s="404"/>
      <c r="Y137" s="404"/>
      <c r="Z137" s="432"/>
      <c r="AA137" s="404"/>
      <c r="AB137" s="404"/>
      <c r="AC137" s="404"/>
    </row>
    <row r="138" spans="1:29" ht="12.75" customHeight="1" x14ac:dyDescent="0.25">
      <c r="A138" s="395"/>
      <c r="B138" s="395"/>
      <c r="C138" s="417"/>
      <c r="D138" s="412"/>
      <c r="E138" s="395"/>
      <c r="F138" s="412"/>
      <c r="G138" s="412"/>
      <c r="H138" s="412"/>
      <c r="I138" s="412"/>
      <c r="J138" s="412"/>
      <c r="K138" s="404"/>
      <c r="L138" s="404"/>
      <c r="M138" s="404"/>
      <c r="N138" s="404"/>
      <c r="O138" s="404"/>
      <c r="P138" s="404"/>
      <c r="Q138" s="404"/>
      <c r="R138" s="404"/>
      <c r="S138" s="395"/>
      <c r="T138" s="395"/>
      <c r="U138" s="395"/>
      <c r="V138" s="404"/>
      <c r="W138" s="404"/>
      <c r="X138" s="404"/>
      <c r="Y138" s="404"/>
      <c r="Z138" s="432"/>
      <c r="AA138" s="404"/>
      <c r="AB138" s="404"/>
      <c r="AC138" s="404"/>
    </row>
    <row r="139" spans="1:29" ht="12.75" customHeight="1" x14ac:dyDescent="0.25">
      <c r="A139" s="395"/>
      <c r="B139" s="395"/>
      <c r="C139" s="417"/>
      <c r="D139" s="412"/>
      <c r="E139" s="395"/>
      <c r="F139" s="412"/>
      <c r="G139" s="412"/>
      <c r="H139" s="412"/>
      <c r="I139" s="412"/>
      <c r="J139" s="412"/>
      <c r="K139" s="404"/>
      <c r="L139" s="404"/>
      <c r="M139" s="404"/>
      <c r="N139" s="404"/>
      <c r="O139" s="404"/>
      <c r="P139" s="404"/>
      <c r="Q139" s="404"/>
      <c r="R139" s="404"/>
      <c r="S139" s="395"/>
      <c r="T139" s="395"/>
      <c r="U139" s="395"/>
      <c r="V139" s="404"/>
      <c r="W139" s="404"/>
      <c r="X139" s="404"/>
      <c r="Y139" s="404"/>
      <c r="Z139" s="432"/>
      <c r="AA139" s="404"/>
      <c r="AB139" s="404"/>
      <c r="AC139" s="404"/>
    </row>
    <row r="140" spans="1:29" ht="12.75" customHeight="1" x14ac:dyDescent="0.25">
      <c r="A140" s="395"/>
      <c r="B140" s="395"/>
      <c r="C140" s="417"/>
      <c r="D140" s="412"/>
      <c r="E140" s="395"/>
      <c r="F140" s="412"/>
      <c r="G140" s="412"/>
      <c r="H140" s="412"/>
      <c r="I140" s="412"/>
      <c r="J140" s="412"/>
      <c r="K140" s="404"/>
      <c r="L140" s="404"/>
      <c r="M140" s="404"/>
      <c r="N140" s="404"/>
      <c r="O140" s="404"/>
      <c r="P140" s="404"/>
      <c r="Q140" s="404"/>
      <c r="R140" s="404"/>
      <c r="S140" s="395"/>
      <c r="T140" s="395"/>
      <c r="U140" s="395"/>
      <c r="V140" s="404"/>
      <c r="W140" s="404"/>
      <c r="X140" s="404"/>
      <c r="Y140" s="404"/>
      <c r="Z140" s="432"/>
      <c r="AA140" s="404"/>
      <c r="AB140" s="404"/>
      <c r="AC140" s="404"/>
    </row>
    <row r="141" spans="1:29" ht="12.75" customHeight="1" x14ac:dyDescent="0.25">
      <c r="A141" s="395"/>
      <c r="B141" s="395"/>
      <c r="C141" s="417"/>
      <c r="D141" s="412"/>
      <c r="E141" s="395"/>
      <c r="F141" s="412"/>
      <c r="G141" s="412"/>
      <c r="H141" s="412"/>
      <c r="I141" s="412"/>
      <c r="J141" s="412"/>
      <c r="K141" s="404"/>
      <c r="L141" s="404"/>
      <c r="M141" s="404"/>
      <c r="N141" s="404"/>
      <c r="O141" s="404"/>
      <c r="P141" s="404"/>
      <c r="Q141" s="404"/>
      <c r="R141" s="404"/>
      <c r="S141" s="395"/>
      <c r="T141" s="395"/>
      <c r="U141" s="395"/>
      <c r="V141" s="404"/>
      <c r="W141" s="404"/>
      <c r="X141" s="404"/>
      <c r="Y141" s="404"/>
      <c r="Z141" s="432"/>
      <c r="AA141" s="404"/>
      <c r="AB141" s="404"/>
      <c r="AC141" s="404"/>
    </row>
    <row r="142" spans="1:29" ht="12.75" customHeight="1" x14ac:dyDescent="0.25">
      <c r="A142" s="395"/>
      <c r="B142" s="395"/>
      <c r="C142" s="417"/>
      <c r="D142" s="412"/>
      <c r="E142" s="395"/>
      <c r="F142" s="412"/>
      <c r="G142" s="412"/>
      <c r="H142" s="412"/>
      <c r="I142" s="412"/>
      <c r="J142" s="412"/>
      <c r="K142" s="404"/>
      <c r="L142" s="404"/>
      <c r="M142" s="404"/>
      <c r="N142" s="404"/>
      <c r="O142" s="404"/>
      <c r="P142" s="404"/>
      <c r="Q142" s="404"/>
      <c r="R142" s="404"/>
      <c r="S142" s="395"/>
      <c r="T142" s="395"/>
      <c r="U142" s="395"/>
      <c r="V142" s="404"/>
      <c r="W142" s="404"/>
      <c r="X142" s="404"/>
      <c r="Y142" s="404"/>
      <c r="Z142" s="432"/>
      <c r="AA142" s="404"/>
      <c r="AB142" s="404"/>
      <c r="AC142" s="404"/>
    </row>
    <row r="143" spans="1:29" ht="12.75" customHeight="1" x14ac:dyDescent="0.25">
      <c r="A143" s="395"/>
      <c r="B143" s="395"/>
      <c r="C143" s="417"/>
      <c r="D143" s="412"/>
      <c r="E143" s="395"/>
      <c r="F143" s="412"/>
      <c r="G143" s="412"/>
      <c r="H143" s="412"/>
      <c r="I143" s="412"/>
      <c r="J143" s="412"/>
      <c r="K143" s="404"/>
      <c r="L143" s="404"/>
      <c r="M143" s="404"/>
      <c r="N143" s="404"/>
      <c r="O143" s="404"/>
      <c r="P143" s="404"/>
      <c r="Q143" s="404"/>
      <c r="R143" s="404"/>
      <c r="S143" s="395"/>
      <c r="T143" s="395"/>
      <c r="U143" s="395"/>
      <c r="V143" s="404"/>
      <c r="W143" s="404"/>
      <c r="X143" s="404"/>
      <c r="Y143" s="404"/>
      <c r="Z143" s="432"/>
      <c r="AA143" s="404"/>
      <c r="AB143" s="404"/>
      <c r="AC143" s="404"/>
    </row>
    <row r="144" spans="1:29" ht="12.75" customHeight="1" x14ac:dyDescent="0.25">
      <c r="A144" s="395"/>
      <c r="B144" s="395"/>
      <c r="C144" s="417"/>
      <c r="D144" s="412"/>
      <c r="E144" s="395"/>
      <c r="F144" s="412"/>
      <c r="G144" s="412"/>
      <c r="H144" s="412"/>
      <c r="I144" s="412"/>
      <c r="J144" s="412"/>
      <c r="K144" s="404"/>
      <c r="L144" s="404"/>
      <c r="M144" s="404"/>
      <c r="N144" s="404"/>
      <c r="O144" s="404"/>
      <c r="P144" s="404"/>
      <c r="Q144" s="404"/>
      <c r="R144" s="404"/>
      <c r="S144" s="395"/>
      <c r="T144" s="395"/>
      <c r="U144" s="395"/>
      <c r="V144" s="404"/>
      <c r="W144" s="404"/>
      <c r="X144" s="404"/>
      <c r="Y144" s="404"/>
      <c r="Z144" s="432"/>
      <c r="AA144" s="404"/>
      <c r="AB144" s="404"/>
      <c r="AC144" s="404"/>
    </row>
    <row r="145" spans="1:29" ht="12.75" customHeight="1" x14ac:dyDescent="0.25">
      <c r="A145" s="395"/>
      <c r="B145" s="395"/>
      <c r="C145" s="417"/>
      <c r="D145" s="412"/>
      <c r="E145" s="395"/>
      <c r="F145" s="412"/>
      <c r="G145" s="412"/>
      <c r="H145" s="412"/>
      <c r="I145" s="412"/>
      <c r="J145" s="412"/>
      <c r="K145" s="404"/>
      <c r="L145" s="404"/>
      <c r="M145" s="404"/>
      <c r="N145" s="404"/>
      <c r="O145" s="404"/>
      <c r="P145" s="404"/>
      <c r="Q145" s="404"/>
      <c r="R145" s="404"/>
      <c r="S145" s="395"/>
      <c r="T145" s="395"/>
      <c r="U145" s="395"/>
      <c r="V145" s="404"/>
      <c r="W145" s="404"/>
      <c r="X145" s="404"/>
      <c r="Y145" s="404"/>
      <c r="Z145" s="432"/>
      <c r="AA145" s="404"/>
      <c r="AB145" s="404"/>
      <c r="AC145" s="404"/>
    </row>
    <row r="146" spans="1:29" ht="12.75" customHeight="1" x14ac:dyDescent="0.25">
      <c r="A146" s="395"/>
      <c r="B146" s="395"/>
      <c r="C146" s="417"/>
      <c r="D146" s="412"/>
      <c r="E146" s="395"/>
      <c r="F146" s="412"/>
      <c r="G146" s="412"/>
      <c r="H146" s="412"/>
      <c r="I146" s="412"/>
      <c r="J146" s="412"/>
      <c r="K146" s="404"/>
      <c r="L146" s="404"/>
      <c r="M146" s="404"/>
      <c r="N146" s="404"/>
      <c r="O146" s="404"/>
      <c r="P146" s="404"/>
      <c r="Q146" s="404"/>
      <c r="R146" s="404"/>
      <c r="S146" s="395"/>
      <c r="T146" s="395"/>
      <c r="U146" s="395"/>
      <c r="V146" s="404"/>
      <c r="W146" s="404"/>
      <c r="X146" s="404"/>
      <c r="Y146" s="404"/>
      <c r="Z146" s="432"/>
      <c r="AA146" s="404"/>
      <c r="AB146" s="404"/>
      <c r="AC146" s="404"/>
    </row>
    <row r="147" spans="1:29" ht="12.75" customHeight="1" x14ac:dyDescent="0.25">
      <c r="A147" s="395"/>
      <c r="B147" s="395"/>
      <c r="C147" s="417"/>
      <c r="D147" s="412"/>
      <c r="E147" s="395"/>
      <c r="F147" s="412"/>
      <c r="G147" s="412"/>
      <c r="H147" s="412"/>
      <c r="I147" s="412"/>
      <c r="J147" s="412"/>
      <c r="K147" s="404"/>
      <c r="L147" s="404"/>
      <c r="M147" s="404"/>
      <c r="N147" s="404"/>
      <c r="O147" s="404"/>
      <c r="P147" s="404"/>
      <c r="Q147" s="404"/>
      <c r="R147" s="404"/>
      <c r="S147" s="395"/>
      <c r="T147" s="395"/>
      <c r="U147" s="395"/>
      <c r="V147" s="404"/>
      <c r="W147" s="404"/>
      <c r="X147" s="404"/>
      <c r="Y147" s="404"/>
      <c r="Z147" s="432"/>
      <c r="AA147" s="404"/>
      <c r="AB147" s="404"/>
      <c r="AC147" s="404"/>
    </row>
    <row r="148" spans="1:29" ht="12.75" customHeight="1" x14ac:dyDescent="0.25">
      <c r="A148" s="395"/>
      <c r="B148" s="395"/>
      <c r="C148" s="417"/>
      <c r="D148" s="412"/>
      <c r="E148" s="395"/>
      <c r="F148" s="412"/>
      <c r="G148" s="412"/>
      <c r="H148" s="412"/>
      <c r="I148" s="412"/>
      <c r="J148" s="412"/>
      <c r="K148" s="404"/>
      <c r="L148" s="404"/>
      <c r="M148" s="404"/>
      <c r="N148" s="404"/>
      <c r="O148" s="404"/>
      <c r="P148" s="404"/>
      <c r="Q148" s="404"/>
      <c r="R148" s="404"/>
      <c r="S148" s="395"/>
      <c r="T148" s="395"/>
      <c r="U148" s="395"/>
      <c r="V148" s="404"/>
      <c r="W148" s="404"/>
      <c r="X148" s="404"/>
      <c r="Y148" s="404"/>
      <c r="Z148" s="432"/>
      <c r="AA148" s="404"/>
      <c r="AB148" s="404"/>
      <c r="AC148" s="404"/>
    </row>
    <row r="149" spans="1:29" ht="12.75" customHeight="1" x14ac:dyDescent="0.25">
      <c r="A149" s="395"/>
      <c r="B149" s="395"/>
      <c r="C149" s="417"/>
      <c r="D149" s="412"/>
      <c r="E149" s="395"/>
      <c r="F149" s="412"/>
      <c r="G149" s="412"/>
      <c r="H149" s="412"/>
      <c r="I149" s="412"/>
      <c r="J149" s="412"/>
      <c r="K149" s="404"/>
      <c r="L149" s="404"/>
      <c r="M149" s="404"/>
      <c r="N149" s="404"/>
      <c r="O149" s="404"/>
      <c r="P149" s="404"/>
      <c r="Q149" s="404"/>
      <c r="R149" s="404"/>
      <c r="S149" s="395"/>
      <c r="T149" s="395"/>
      <c r="U149" s="395"/>
      <c r="V149" s="404"/>
      <c r="W149" s="404"/>
      <c r="X149" s="404"/>
      <c r="Y149" s="404"/>
      <c r="Z149" s="432"/>
      <c r="AA149" s="404"/>
      <c r="AB149" s="404"/>
      <c r="AC149" s="404"/>
    </row>
    <row r="150" spans="1:29" ht="12.75" customHeight="1" x14ac:dyDescent="0.25">
      <c r="A150" s="395"/>
      <c r="B150" s="395"/>
      <c r="C150" s="417"/>
      <c r="D150" s="412"/>
      <c r="E150" s="395"/>
      <c r="F150" s="412"/>
      <c r="G150" s="412"/>
      <c r="H150" s="412"/>
      <c r="I150" s="412"/>
      <c r="J150" s="412"/>
      <c r="K150" s="404"/>
      <c r="L150" s="404"/>
      <c r="M150" s="404"/>
      <c r="N150" s="404"/>
      <c r="O150" s="404"/>
      <c r="P150" s="404"/>
      <c r="Q150" s="404"/>
      <c r="R150" s="404"/>
      <c r="S150" s="395"/>
      <c r="T150" s="395"/>
      <c r="U150" s="395"/>
      <c r="V150" s="404"/>
      <c r="W150" s="404"/>
      <c r="X150" s="404"/>
      <c r="Y150" s="404"/>
      <c r="Z150" s="432"/>
      <c r="AA150" s="404"/>
      <c r="AB150" s="404"/>
      <c r="AC150" s="404"/>
    </row>
    <row r="151" spans="1:29" ht="12.75" customHeight="1" x14ac:dyDescent="0.25">
      <c r="A151" s="395"/>
      <c r="B151" s="395"/>
      <c r="C151" s="417"/>
      <c r="D151" s="412"/>
      <c r="E151" s="395"/>
      <c r="F151" s="412"/>
      <c r="G151" s="412"/>
      <c r="H151" s="412"/>
      <c r="I151" s="412"/>
      <c r="J151" s="412"/>
      <c r="K151" s="404"/>
      <c r="L151" s="404"/>
      <c r="M151" s="404"/>
      <c r="N151" s="404"/>
      <c r="O151" s="404"/>
      <c r="P151" s="404"/>
      <c r="Q151" s="404"/>
      <c r="R151" s="404"/>
      <c r="S151" s="395"/>
      <c r="T151" s="395"/>
      <c r="U151" s="395"/>
      <c r="V151" s="404"/>
      <c r="W151" s="404"/>
      <c r="X151" s="404"/>
      <c r="Y151" s="404"/>
      <c r="Z151" s="432"/>
      <c r="AA151" s="404"/>
      <c r="AB151" s="404"/>
      <c r="AC151" s="404"/>
    </row>
    <row r="152" spans="1:29" ht="12.75" customHeight="1" x14ac:dyDescent="0.25">
      <c r="A152" s="395"/>
      <c r="B152" s="395"/>
      <c r="C152" s="417"/>
      <c r="D152" s="412"/>
      <c r="E152" s="395"/>
      <c r="F152" s="412"/>
      <c r="G152" s="412"/>
      <c r="H152" s="412"/>
      <c r="I152" s="412"/>
      <c r="J152" s="412"/>
      <c r="K152" s="404"/>
      <c r="L152" s="404"/>
      <c r="M152" s="404"/>
      <c r="N152" s="404"/>
      <c r="O152" s="404"/>
      <c r="P152" s="404"/>
      <c r="Q152" s="404"/>
      <c r="R152" s="404"/>
      <c r="S152" s="395"/>
      <c r="T152" s="395"/>
      <c r="U152" s="395"/>
      <c r="V152" s="404"/>
      <c r="W152" s="404"/>
      <c r="X152" s="404"/>
      <c r="Y152" s="404"/>
      <c r="Z152" s="432"/>
      <c r="AA152" s="404"/>
      <c r="AB152" s="404"/>
      <c r="AC152" s="404"/>
    </row>
    <row r="153" spans="1:29" ht="12.75" customHeight="1" x14ac:dyDescent="0.25">
      <c r="A153" s="395"/>
      <c r="B153" s="395"/>
      <c r="C153" s="417"/>
      <c r="D153" s="412"/>
      <c r="E153" s="395"/>
      <c r="F153" s="412"/>
      <c r="G153" s="412"/>
      <c r="H153" s="412"/>
      <c r="I153" s="412"/>
      <c r="J153" s="412"/>
      <c r="K153" s="404"/>
      <c r="L153" s="404"/>
      <c r="M153" s="404"/>
      <c r="N153" s="404"/>
      <c r="O153" s="404"/>
      <c r="P153" s="404"/>
      <c r="Q153" s="404"/>
      <c r="R153" s="404"/>
      <c r="S153" s="395"/>
      <c r="T153" s="395"/>
      <c r="U153" s="395"/>
      <c r="V153" s="404"/>
      <c r="W153" s="404"/>
      <c r="X153" s="404"/>
      <c r="Y153" s="404"/>
      <c r="Z153" s="432"/>
      <c r="AA153" s="404"/>
      <c r="AB153" s="404"/>
      <c r="AC153" s="404"/>
    </row>
    <row r="154" spans="1:29" ht="12.75" customHeight="1" x14ac:dyDescent="0.25">
      <c r="A154" s="395"/>
      <c r="B154" s="395"/>
      <c r="C154" s="417"/>
      <c r="D154" s="412"/>
      <c r="E154" s="395"/>
      <c r="F154" s="412"/>
      <c r="G154" s="412"/>
      <c r="H154" s="412"/>
      <c r="I154" s="412"/>
      <c r="J154" s="412"/>
      <c r="K154" s="404"/>
      <c r="L154" s="404"/>
      <c r="M154" s="404"/>
      <c r="N154" s="404"/>
      <c r="O154" s="404"/>
      <c r="P154" s="404"/>
      <c r="Q154" s="404"/>
      <c r="R154" s="404"/>
      <c r="S154" s="395"/>
      <c r="T154" s="395"/>
      <c r="U154" s="395"/>
      <c r="V154" s="404"/>
      <c r="W154" s="404"/>
      <c r="X154" s="404"/>
      <c r="Y154" s="404"/>
      <c r="Z154" s="432"/>
      <c r="AA154" s="404"/>
      <c r="AB154" s="404"/>
      <c r="AC154" s="404"/>
    </row>
    <row r="155" spans="1:29" ht="12.75" customHeight="1" x14ac:dyDescent="0.25">
      <c r="A155" s="395"/>
      <c r="B155" s="395"/>
      <c r="C155" s="417"/>
      <c r="D155" s="412"/>
      <c r="E155" s="395"/>
      <c r="F155" s="412"/>
      <c r="G155" s="412"/>
      <c r="H155" s="412"/>
      <c r="I155" s="412"/>
      <c r="J155" s="412"/>
      <c r="K155" s="404"/>
      <c r="L155" s="404"/>
      <c r="M155" s="404"/>
      <c r="N155" s="404"/>
      <c r="O155" s="404"/>
      <c r="P155" s="404"/>
      <c r="Q155" s="404"/>
      <c r="R155" s="404"/>
      <c r="S155" s="395"/>
      <c r="T155" s="395"/>
      <c r="U155" s="395"/>
      <c r="V155" s="404"/>
      <c r="W155" s="404"/>
      <c r="X155" s="404"/>
      <c r="Y155" s="404"/>
      <c r="Z155" s="432"/>
      <c r="AA155" s="404"/>
      <c r="AB155" s="404"/>
      <c r="AC155" s="404"/>
    </row>
    <row r="156" spans="1:29" ht="12.75" customHeight="1" x14ac:dyDescent="0.25">
      <c r="A156" s="395"/>
      <c r="B156" s="395"/>
      <c r="C156" s="417"/>
      <c r="D156" s="412"/>
      <c r="E156" s="395"/>
      <c r="F156" s="412"/>
      <c r="G156" s="412"/>
      <c r="H156" s="412"/>
      <c r="I156" s="412"/>
      <c r="J156" s="412"/>
      <c r="K156" s="404"/>
      <c r="L156" s="404"/>
      <c r="M156" s="404"/>
      <c r="N156" s="404"/>
      <c r="O156" s="404"/>
      <c r="P156" s="404"/>
      <c r="Q156" s="404"/>
      <c r="R156" s="404"/>
      <c r="S156" s="395"/>
      <c r="T156" s="395"/>
      <c r="U156" s="395"/>
      <c r="V156" s="404"/>
      <c r="W156" s="404"/>
      <c r="X156" s="404"/>
      <c r="Y156" s="404"/>
      <c r="Z156" s="432"/>
      <c r="AA156" s="404"/>
      <c r="AB156" s="404"/>
      <c r="AC156" s="404"/>
    </row>
    <row r="157" spans="1:29" ht="12.75" customHeight="1" x14ac:dyDescent="0.25">
      <c r="A157" s="395"/>
      <c r="B157" s="395"/>
      <c r="C157" s="417"/>
      <c r="D157" s="412"/>
      <c r="E157" s="395"/>
      <c r="F157" s="412"/>
      <c r="G157" s="412"/>
      <c r="H157" s="412"/>
      <c r="I157" s="412"/>
      <c r="J157" s="412"/>
      <c r="K157" s="404"/>
      <c r="L157" s="404"/>
      <c r="M157" s="404"/>
      <c r="N157" s="404"/>
      <c r="O157" s="404"/>
      <c r="P157" s="404"/>
      <c r="Q157" s="404"/>
      <c r="R157" s="404"/>
      <c r="S157" s="395"/>
      <c r="T157" s="395"/>
      <c r="U157" s="395"/>
      <c r="V157" s="404"/>
      <c r="W157" s="404"/>
      <c r="X157" s="404"/>
      <c r="Y157" s="404"/>
      <c r="Z157" s="432"/>
      <c r="AA157" s="404"/>
      <c r="AB157" s="404"/>
      <c r="AC157" s="404"/>
    </row>
    <row r="158" spans="1:29" ht="12.75" customHeight="1" x14ac:dyDescent="0.25">
      <c r="A158" s="395"/>
      <c r="B158" s="395"/>
      <c r="C158" s="417"/>
      <c r="D158" s="412"/>
      <c r="E158" s="395"/>
      <c r="F158" s="412"/>
      <c r="G158" s="412"/>
      <c r="H158" s="412"/>
      <c r="I158" s="412"/>
      <c r="J158" s="412"/>
      <c r="K158" s="404"/>
      <c r="L158" s="404"/>
      <c r="M158" s="404"/>
      <c r="N158" s="404"/>
      <c r="O158" s="404"/>
      <c r="P158" s="404"/>
      <c r="Q158" s="404"/>
      <c r="R158" s="404"/>
      <c r="S158" s="395"/>
      <c r="T158" s="395"/>
      <c r="U158" s="395"/>
      <c r="V158" s="404"/>
      <c r="W158" s="404"/>
      <c r="X158" s="404"/>
      <c r="Y158" s="404"/>
      <c r="Z158" s="432"/>
      <c r="AA158" s="404"/>
      <c r="AB158" s="404"/>
      <c r="AC158" s="404"/>
    </row>
    <row r="159" spans="1:29" ht="12.75" customHeight="1" x14ac:dyDescent="0.25">
      <c r="A159" s="395"/>
      <c r="B159" s="395"/>
      <c r="C159" s="417"/>
      <c r="D159" s="412"/>
      <c r="E159" s="395"/>
      <c r="F159" s="412"/>
      <c r="G159" s="412"/>
      <c r="H159" s="412"/>
      <c r="I159" s="412"/>
      <c r="J159" s="412"/>
      <c r="K159" s="404"/>
      <c r="L159" s="404"/>
      <c r="M159" s="404"/>
      <c r="N159" s="404"/>
      <c r="O159" s="404"/>
      <c r="P159" s="404"/>
      <c r="Q159" s="404"/>
      <c r="R159" s="404"/>
      <c r="S159" s="395"/>
      <c r="T159" s="395"/>
      <c r="U159" s="395"/>
      <c r="V159" s="404"/>
      <c r="W159" s="404"/>
      <c r="X159" s="404"/>
      <c r="Y159" s="404"/>
      <c r="Z159" s="432"/>
      <c r="AA159" s="404"/>
      <c r="AB159" s="404"/>
      <c r="AC159" s="404"/>
    </row>
    <row r="160" spans="1:29" ht="12.75" customHeight="1" x14ac:dyDescent="0.25">
      <c r="A160" s="395"/>
      <c r="B160" s="395"/>
      <c r="C160" s="417"/>
      <c r="D160" s="412"/>
      <c r="E160" s="395"/>
      <c r="F160" s="412"/>
      <c r="G160" s="412"/>
      <c r="H160" s="412"/>
      <c r="I160" s="412"/>
      <c r="J160" s="412"/>
      <c r="K160" s="404"/>
      <c r="L160" s="404"/>
      <c r="M160" s="404"/>
      <c r="N160" s="404"/>
      <c r="O160" s="404"/>
      <c r="P160" s="404"/>
      <c r="Q160" s="404"/>
      <c r="R160" s="404"/>
      <c r="S160" s="395"/>
      <c r="T160" s="395"/>
      <c r="U160" s="395"/>
      <c r="V160" s="404"/>
      <c r="W160" s="404"/>
      <c r="X160" s="404"/>
      <c r="Y160" s="404"/>
      <c r="Z160" s="432"/>
      <c r="AA160" s="404"/>
      <c r="AB160" s="404"/>
      <c r="AC160" s="404"/>
    </row>
    <row r="161" spans="1:29" ht="12.75" customHeight="1" x14ac:dyDescent="0.25">
      <c r="A161" s="395"/>
      <c r="B161" s="395"/>
      <c r="C161" s="417"/>
      <c r="D161" s="412"/>
      <c r="E161" s="395"/>
      <c r="F161" s="412"/>
      <c r="G161" s="412"/>
      <c r="H161" s="412"/>
      <c r="I161" s="412"/>
      <c r="J161" s="412"/>
      <c r="K161" s="404"/>
      <c r="L161" s="404"/>
      <c r="M161" s="404"/>
      <c r="N161" s="404"/>
      <c r="O161" s="404"/>
      <c r="P161" s="404"/>
      <c r="Q161" s="404"/>
      <c r="R161" s="404"/>
      <c r="S161" s="395"/>
      <c r="T161" s="395"/>
      <c r="U161" s="395"/>
      <c r="V161" s="404"/>
      <c r="W161" s="404"/>
      <c r="X161" s="404"/>
      <c r="Y161" s="404"/>
      <c r="Z161" s="432"/>
      <c r="AA161" s="404"/>
      <c r="AB161" s="404"/>
      <c r="AC161" s="404"/>
    </row>
    <row r="162" spans="1:29" ht="12.75" customHeight="1" x14ac:dyDescent="0.25">
      <c r="A162" s="395"/>
      <c r="B162" s="395"/>
      <c r="C162" s="417"/>
      <c r="D162" s="412"/>
      <c r="E162" s="395"/>
      <c r="F162" s="412"/>
      <c r="G162" s="412"/>
      <c r="H162" s="412"/>
      <c r="I162" s="412"/>
      <c r="J162" s="412"/>
      <c r="K162" s="404"/>
      <c r="L162" s="404"/>
      <c r="M162" s="404"/>
      <c r="N162" s="404"/>
      <c r="O162" s="404"/>
      <c r="P162" s="404"/>
      <c r="Q162" s="404"/>
      <c r="R162" s="404"/>
      <c r="S162" s="395"/>
      <c r="T162" s="395"/>
      <c r="U162" s="395"/>
      <c r="V162" s="404"/>
      <c r="W162" s="404"/>
      <c r="X162" s="404"/>
      <c r="Y162" s="404"/>
      <c r="Z162" s="432"/>
      <c r="AA162" s="404"/>
      <c r="AB162" s="404"/>
      <c r="AC162" s="404"/>
    </row>
    <row r="163" spans="1:29" ht="12.75" customHeight="1" x14ac:dyDescent="0.25">
      <c r="A163" s="395"/>
      <c r="B163" s="395"/>
      <c r="C163" s="417"/>
      <c r="D163" s="412"/>
      <c r="E163" s="395"/>
      <c r="F163" s="412"/>
      <c r="G163" s="412"/>
      <c r="H163" s="412"/>
      <c r="I163" s="412"/>
      <c r="J163" s="412"/>
      <c r="K163" s="404"/>
      <c r="L163" s="404"/>
      <c r="M163" s="404"/>
      <c r="N163" s="404"/>
      <c r="O163" s="404"/>
      <c r="P163" s="404"/>
      <c r="Q163" s="404"/>
      <c r="R163" s="404"/>
      <c r="S163" s="395"/>
      <c r="T163" s="395"/>
      <c r="U163" s="395"/>
      <c r="V163" s="404"/>
      <c r="W163" s="404"/>
      <c r="X163" s="404"/>
      <c r="Y163" s="404"/>
      <c r="Z163" s="432"/>
      <c r="AA163" s="404"/>
      <c r="AB163" s="404"/>
      <c r="AC163" s="404"/>
    </row>
    <row r="164" spans="1:29" ht="12.75" customHeight="1" x14ac:dyDescent="0.25">
      <c r="A164" s="395"/>
      <c r="B164" s="395"/>
      <c r="C164" s="417"/>
      <c r="D164" s="412"/>
      <c r="E164" s="395"/>
      <c r="F164" s="412"/>
      <c r="G164" s="412"/>
      <c r="H164" s="412"/>
      <c r="I164" s="412"/>
      <c r="J164" s="412"/>
      <c r="K164" s="404"/>
      <c r="L164" s="404"/>
      <c r="M164" s="404"/>
      <c r="N164" s="404"/>
      <c r="O164" s="404"/>
      <c r="P164" s="404"/>
      <c r="Q164" s="404"/>
      <c r="R164" s="404"/>
      <c r="S164" s="395"/>
      <c r="T164" s="395"/>
      <c r="U164" s="395"/>
      <c r="V164" s="404"/>
      <c r="W164" s="404"/>
      <c r="X164" s="404"/>
      <c r="Y164" s="404"/>
      <c r="Z164" s="432"/>
      <c r="AA164" s="404"/>
      <c r="AB164" s="404"/>
      <c r="AC164" s="404"/>
    </row>
    <row r="165" spans="1:29" ht="12.75" customHeight="1" x14ac:dyDescent="0.25">
      <c r="A165" s="395"/>
      <c r="B165" s="395"/>
      <c r="C165" s="417"/>
      <c r="D165" s="412"/>
      <c r="E165" s="395"/>
      <c r="F165" s="412"/>
      <c r="G165" s="412"/>
      <c r="H165" s="412"/>
      <c r="I165" s="412"/>
      <c r="J165" s="412"/>
      <c r="K165" s="404"/>
      <c r="L165" s="404"/>
      <c r="M165" s="404"/>
      <c r="N165" s="404"/>
      <c r="O165" s="404"/>
      <c r="P165" s="404"/>
      <c r="Q165" s="404"/>
      <c r="R165" s="404"/>
      <c r="S165" s="395"/>
      <c r="T165" s="395"/>
      <c r="U165" s="395"/>
      <c r="V165" s="404"/>
      <c r="W165" s="404"/>
      <c r="X165" s="404"/>
      <c r="Y165" s="404"/>
      <c r="Z165" s="432"/>
      <c r="AA165" s="404"/>
      <c r="AB165" s="404"/>
      <c r="AC165" s="404"/>
    </row>
    <row r="166" spans="1:29" ht="12.75" customHeight="1" x14ac:dyDescent="0.25">
      <c r="A166" s="395"/>
      <c r="B166" s="395"/>
      <c r="C166" s="417"/>
      <c r="D166" s="412"/>
      <c r="E166" s="395"/>
      <c r="F166" s="412"/>
      <c r="G166" s="412"/>
      <c r="H166" s="412"/>
      <c r="I166" s="412"/>
      <c r="J166" s="412"/>
      <c r="K166" s="404"/>
      <c r="L166" s="404"/>
      <c r="M166" s="404"/>
      <c r="N166" s="404"/>
      <c r="O166" s="404"/>
      <c r="P166" s="404"/>
      <c r="Q166" s="404"/>
      <c r="R166" s="404"/>
      <c r="S166" s="395"/>
      <c r="T166" s="395"/>
      <c r="U166" s="395"/>
      <c r="V166" s="404"/>
      <c r="W166" s="404"/>
      <c r="X166" s="404"/>
      <c r="Y166" s="404"/>
      <c r="Z166" s="432"/>
      <c r="AA166" s="404"/>
      <c r="AB166" s="404"/>
      <c r="AC166" s="404"/>
    </row>
    <row r="167" spans="1:29" ht="12.75" customHeight="1" x14ac:dyDescent="0.25">
      <c r="A167" s="395"/>
      <c r="B167" s="395"/>
      <c r="C167" s="417"/>
      <c r="D167" s="412"/>
      <c r="E167" s="395"/>
      <c r="F167" s="412"/>
      <c r="G167" s="412"/>
      <c r="H167" s="412"/>
      <c r="I167" s="412"/>
      <c r="J167" s="412"/>
      <c r="K167" s="404"/>
      <c r="L167" s="404"/>
      <c r="M167" s="404"/>
      <c r="N167" s="404"/>
      <c r="O167" s="404"/>
      <c r="P167" s="404"/>
      <c r="Q167" s="404"/>
      <c r="R167" s="404"/>
      <c r="S167" s="395"/>
      <c r="T167" s="395"/>
      <c r="U167" s="395"/>
      <c r="V167" s="404"/>
      <c r="W167" s="404"/>
      <c r="X167" s="404"/>
      <c r="Y167" s="404"/>
      <c r="Z167" s="432"/>
      <c r="AA167" s="404"/>
      <c r="AB167" s="404"/>
      <c r="AC167" s="404"/>
    </row>
    <row r="168" spans="1:29" ht="12.75" customHeight="1" x14ac:dyDescent="0.25">
      <c r="A168" s="395"/>
      <c r="B168" s="395"/>
      <c r="C168" s="417"/>
      <c r="D168" s="412"/>
      <c r="E168" s="395"/>
      <c r="F168" s="412"/>
      <c r="G168" s="412"/>
      <c r="H168" s="412"/>
      <c r="I168" s="412"/>
      <c r="J168" s="412"/>
      <c r="K168" s="404"/>
      <c r="L168" s="404"/>
      <c r="M168" s="404"/>
      <c r="N168" s="404"/>
      <c r="O168" s="404"/>
      <c r="P168" s="404"/>
      <c r="Q168" s="404"/>
      <c r="R168" s="404"/>
      <c r="S168" s="395"/>
      <c r="T168" s="395"/>
      <c r="U168" s="395"/>
      <c r="V168" s="404"/>
      <c r="W168" s="404"/>
      <c r="X168" s="404"/>
      <c r="Y168" s="404"/>
      <c r="Z168" s="432"/>
      <c r="AA168" s="404"/>
      <c r="AB168" s="404"/>
      <c r="AC168" s="404"/>
    </row>
    <row r="169" spans="1:29" ht="12.75" customHeight="1" x14ac:dyDescent="0.25">
      <c r="A169" s="395"/>
      <c r="B169" s="395"/>
      <c r="C169" s="417"/>
      <c r="D169" s="412"/>
      <c r="E169" s="395"/>
      <c r="F169" s="412"/>
      <c r="G169" s="412"/>
      <c r="H169" s="412"/>
      <c r="I169" s="412"/>
      <c r="J169" s="412"/>
      <c r="K169" s="404"/>
      <c r="L169" s="404"/>
      <c r="M169" s="404"/>
      <c r="N169" s="404"/>
      <c r="O169" s="404"/>
      <c r="P169" s="404"/>
      <c r="Q169" s="404"/>
      <c r="R169" s="404"/>
      <c r="S169" s="395"/>
      <c r="T169" s="395"/>
      <c r="U169" s="395"/>
      <c r="V169" s="404"/>
      <c r="W169" s="404"/>
      <c r="X169" s="404"/>
      <c r="Y169" s="404"/>
      <c r="Z169" s="432"/>
      <c r="AA169" s="404"/>
      <c r="AB169" s="404"/>
      <c r="AC169" s="404"/>
    </row>
    <row r="170" spans="1:29" ht="12.75" customHeight="1" x14ac:dyDescent="0.25">
      <c r="A170" s="395"/>
      <c r="B170" s="395"/>
      <c r="C170" s="417"/>
      <c r="D170" s="412"/>
      <c r="E170" s="395"/>
      <c r="F170" s="412"/>
      <c r="G170" s="412"/>
      <c r="H170" s="412"/>
      <c r="I170" s="412"/>
      <c r="J170" s="412"/>
      <c r="K170" s="404"/>
      <c r="L170" s="404"/>
      <c r="M170" s="404"/>
      <c r="N170" s="404"/>
      <c r="O170" s="404"/>
      <c r="P170" s="404"/>
      <c r="Q170" s="404"/>
      <c r="R170" s="404"/>
      <c r="S170" s="395"/>
      <c r="T170" s="395"/>
      <c r="U170" s="395"/>
      <c r="V170" s="404"/>
      <c r="W170" s="404"/>
      <c r="X170" s="404"/>
      <c r="Y170" s="404"/>
      <c r="Z170" s="432"/>
      <c r="AA170" s="404"/>
      <c r="AB170" s="404"/>
      <c r="AC170" s="404"/>
    </row>
    <row r="171" spans="1:29" ht="12.75" customHeight="1" x14ac:dyDescent="0.25">
      <c r="A171" s="395"/>
      <c r="B171" s="395"/>
      <c r="C171" s="417"/>
      <c r="D171" s="412"/>
      <c r="E171" s="395"/>
      <c r="F171" s="412"/>
      <c r="G171" s="412"/>
      <c r="H171" s="412"/>
      <c r="I171" s="412"/>
      <c r="J171" s="412"/>
      <c r="K171" s="404"/>
      <c r="L171" s="404"/>
      <c r="M171" s="404"/>
      <c r="N171" s="404"/>
      <c r="O171" s="404"/>
      <c r="P171" s="404"/>
      <c r="Q171" s="404"/>
      <c r="R171" s="404"/>
      <c r="S171" s="395"/>
      <c r="T171" s="395"/>
      <c r="U171" s="395"/>
      <c r="V171" s="404"/>
      <c r="W171" s="404"/>
      <c r="X171" s="404"/>
      <c r="Y171" s="404"/>
      <c r="Z171" s="432"/>
      <c r="AA171" s="404"/>
      <c r="AB171" s="404"/>
      <c r="AC171" s="404"/>
    </row>
    <row r="172" spans="1:29" ht="12.75" customHeight="1" x14ac:dyDescent="0.25">
      <c r="A172" s="395"/>
      <c r="B172" s="395"/>
      <c r="C172" s="417"/>
      <c r="D172" s="412"/>
      <c r="E172" s="395"/>
      <c r="F172" s="412"/>
      <c r="G172" s="412"/>
      <c r="H172" s="412"/>
      <c r="I172" s="412"/>
      <c r="J172" s="412"/>
      <c r="K172" s="404"/>
      <c r="L172" s="404"/>
      <c r="M172" s="404"/>
      <c r="N172" s="404"/>
      <c r="O172" s="404"/>
      <c r="P172" s="404"/>
      <c r="Q172" s="404"/>
      <c r="R172" s="404"/>
      <c r="S172" s="395"/>
      <c r="T172" s="395"/>
      <c r="U172" s="395"/>
      <c r="V172" s="404"/>
      <c r="W172" s="404"/>
      <c r="X172" s="404"/>
      <c r="Y172" s="404"/>
      <c r="Z172" s="432"/>
      <c r="AA172" s="404"/>
      <c r="AB172" s="404"/>
      <c r="AC172" s="404"/>
    </row>
    <row r="173" spans="1:29" ht="12.75" customHeight="1" x14ac:dyDescent="0.25">
      <c r="A173" s="395"/>
      <c r="B173" s="395"/>
      <c r="C173" s="417"/>
      <c r="D173" s="412"/>
      <c r="E173" s="395"/>
      <c r="F173" s="412"/>
      <c r="G173" s="412"/>
      <c r="H173" s="412"/>
      <c r="I173" s="412"/>
      <c r="J173" s="412"/>
      <c r="K173" s="404"/>
      <c r="L173" s="404"/>
      <c r="M173" s="404"/>
      <c r="N173" s="404"/>
      <c r="O173" s="404"/>
      <c r="P173" s="404"/>
      <c r="Q173" s="404"/>
      <c r="R173" s="404"/>
      <c r="S173" s="395"/>
      <c r="T173" s="395"/>
      <c r="U173" s="395"/>
      <c r="V173" s="404"/>
      <c r="W173" s="404"/>
      <c r="X173" s="404"/>
      <c r="Y173" s="404"/>
      <c r="Z173" s="432"/>
      <c r="AA173" s="404"/>
      <c r="AB173" s="404"/>
      <c r="AC173" s="404"/>
    </row>
    <row r="174" spans="1:29" ht="12.75" customHeight="1" x14ac:dyDescent="0.25">
      <c r="A174" s="395"/>
      <c r="B174" s="395"/>
      <c r="C174" s="417"/>
      <c r="D174" s="412"/>
      <c r="E174" s="395"/>
      <c r="F174" s="412"/>
      <c r="G174" s="412"/>
      <c r="H174" s="412"/>
      <c r="I174" s="412"/>
      <c r="J174" s="412"/>
      <c r="K174" s="404"/>
      <c r="L174" s="404"/>
      <c r="M174" s="404"/>
      <c r="N174" s="404"/>
      <c r="O174" s="404"/>
      <c r="P174" s="404"/>
      <c r="Q174" s="404"/>
      <c r="R174" s="404"/>
      <c r="S174" s="395"/>
      <c r="T174" s="395"/>
      <c r="U174" s="395"/>
      <c r="V174" s="404"/>
      <c r="W174" s="404"/>
      <c r="X174" s="404"/>
      <c r="Y174" s="404"/>
      <c r="Z174" s="432"/>
      <c r="AA174" s="404"/>
      <c r="AB174" s="404"/>
      <c r="AC174" s="404"/>
    </row>
    <row r="175" spans="1:29" ht="12.75" customHeight="1" x14ac:dyDescent="0.25">
      <c r="A175" s="395"/>
      <c r="B175" s="395"/>
      <c r="C175" s="417"/>
      <c r="D175" s="412"/>
      <c r="E175" s="395"/>
      <c r="F175" s="412"/>
      <c r="G175" s="412"/>
      <c r="H175" s="412"/>
      <c r="I175" s="412"/>
      <c r="J175" s="412"/>
      <c r="K175" s="404"/>
      <c r="L175" s="404"/>
      <c r="M175" s="404"/>
      <c r="N175" s="404"/>
      <c r="O175" s="404"/>
      <c r="P175" s="404"/>
      <c r="Q175" s="404"/>
      <c r="R175" s="404"/>
      <c r="S175" s="395"/>
      <c r="T175" s="395"/>
      <c r="U175" s="395"/>
      <c r="V175" s="404"/>
      <c r="W175" s="404"/>
      <c r="X175" s="404"/>
      <c r="Y175" s="404"/>
      <c r="Z175" s="432"/>
      <c r="AA175" s="404"/>
      <c r="AB175" s="404"/>
      <c r="AC175" s="404"/>
    </row>
    <row r="176" spans="1:29" ht="12.75" customHeight="1" x14ac:dyDescent="0.25">
      <c r="A176" s="395"/>
      <c r="B176" s="395"/>
      <c r="C176" s="417"/>
      <c r="D176" s="412"/>
      <c r="E176" s="395"/>
      <c r="F176" s="412"/>
      <c r="G176" s="412"/>
      <c r="H176" s="412"/>
      <c r="I176" s="412"/>
      <c r="J176" s="412"/>
      <c r="K176" s="404"/>
      <c r="L176" s="404"/>
      <c r="M176" s="404"/>
      <c r="N176" s="404"/>
      <c r="O176" s="404"/>
      <c r="P176" s="404"/>
      <c r="Q176" s="404"/>
      <c r="R176" s="404"/>
      <c r="S176" s="395"/>
      <c r="T176" s="395"/>
      <c r="U176" s="395"/>
      <c r="V176" s="404"/>
      <c r="W176" s="404"/>
      <c r="X176" s="404"/>
      <c r="Y176" s="404"/>
      <c r="Z176" s="432"/>
      <c r="AA176" s="404"/>
      <c r="AB176" s="404"/>
      <c r="AC176" s="404"/>
    </row>
    <row r="177" spans="1:29" ht="12.75" customHeight="1" x14ac:dyDescent="0.25">
      <c r="A177" s="395"/>
      <c r="B177" s="395"/>
      <c r="C177" s="417"/>
      <c r="D177" s="412"/>
      <c r="E177" s="395"/>
      <c r="F177" s="412"/>
      <c r="G177" s="412"/>
      <c r="H177" s="412"/>
      <c r="I177" s="412"/>
      <c r="J177" s="412"/>
      <c r="K177" s="404"/>
      <c r="L177" s="404"/>
      <c r="M177" s="404"/>
      <c r="N177" s="404"/>
      <c r="O177" s="404"/>
      <c r="P177" s="404"/>
      <c r="Q177" s="404"/>
      <c r="R177" s="404"/>
      <c r="S177" s="395"/>
      <c r="T177" s="395"/>
      <c r="U177" s="395"/>
      <c r="V177" s="404"/>
      <c r="W177" s="404"/>
      <c r="X177" s="404"/>
      <c r="Y177" s="404"/>
      <c r="Z177" s="432"/>
      <c r="AA177" s="404"/>
      <c r="AB177" s="404"/>
      <c r="AC177" s="404"/>
    </row>
    <row r="178" spans="1:29" ht="12.75" customHeight="1" x14ac:dyDescent="0.25">
      <c r="A178" s="395"/>
      <c r="B178" s="395"/>
      <c r="C178" s="417"/>
      <c r="D178" s="412"/>
      <c r="E178" s="395"/>
      <c r="F178" s="412"/>
      <c r="G178" s="412"/>
      <c r="H178" s="412"/>
      <c r="I178" s="412"/>
      <c r="J178" s="412"/>
      <c r="K178" s="404"/>
      <c r="L178" s="404"/>
      <c r="M178" s="404"/>
      <c r="N178" s="404"/>
      <c r="O178" s="404"/>
      <c r="P178" s="404"/>
      <c r="Q178" s="404"/>
      <c r="R178" s="404"/>
      <c r="S178" s="395"/>
      <c r="T178" s="395"/>
      <c r="U178" s="395"/>
      <c r="V178" s="404"/>
      <c r="W178" s="404"/>
      <c r="X178" s="404"/>
      <c r="Y178" s="404"/>
      <c r="Z178" s="432"/>
      <c r="AA178" s="404"/>
      <c r="AB178" s="404"/>
      <c r="AC178" s="404"/>
    </row>
    <row r="179" spans="1:29" ht="12.75" customHeight="1" x14ac:dyDescent="0.25">
      <c r="A179" s="395"/>
      <c r="B179" s="395"/>
      <c r="C179" s="417"/>
      <c r="D179" s="412"/>
      <c r="E179" s="395"/>
      <c r="F179" s="412"/>
      <c r="G179" s="412"/>
      <c r="H179" s="412"/>
      <c r="I179" s="412"/>
      <c r="J179" s="412"/>
      <c r="K179" s="404"/>
      <c r="L179" s="404"/>
      <c r="M179" s="404"/>
      <c r="N179" s="404"/>
      <c r="O179" s="404"/>
      <c r="P179" s="404"/>
      <c r="Q179" s="404"/>
      <c r="R179" s="404"/>
      <c r="S179" s="395"/>
      <c r="T179" s="395"/>
      <c r="U179" s="395"/>
      <c r="V179" s="404"/>
      <c r="W179" s="404"/>
      <c r="X179" s="404"/>
      <c r="Y179" s="404"/>
      <c r="Z179" s="432"/>
      <c r="AA179" s="404"/>
      <c r="AB179" s="404"/>
      <c r="AC179" s="404"/>
    </row>
    <row r="180" spans="1:29" ht="12.75" customHeight="1" x14ac:dyDescent="0.25">
      <c r="A180" s="395"/>
      <c r="B180" s="395"/>
      <c r="C180" s="417"/>
      <c r="D180" s="412"/>
      <c r="E180" s="395"/>
      <c r="F180" s="412"/>
      <c r="G180" s="412"/>
      <c r="H180" s="412"/>
      <c r="I180" s="412"/>
      <c r="J180" s="412"/>
      <c r="K180" s="404"/>
      <c r="L180" s="404"/>
      <c r="M180" s="404"/>
      <c r="N180" s="404"/>
      <c r="O180" s="404"/>
      <c r="P180" s="404"/>
      <c r="Q180" s="404"/>
      <c r="R180" s="404"/>
      <c r="S180" s="395"/>
      <c r="T180" s="395"/>
      <c r="U180" s="395"/>
      <c r="V180" s="404"/>
      <c r="W180" s="404"/>
      <c r="X180" s="404"/>
      <c r="Y180" s="404"/>
      <c r="Z180" s="432"/>
      <c r="AA180" s="404"/>
      <c r="AB180" s="404"/>
      <c r="AC180" s="404"/>
    </row>
    <row r="181" spans="1:29" ht="12.75" customHeight="1" x14ac:dyDescent="0.25">
      <c r="A181" s="395"/>
      <c r="B181" s="395"/>
      <c r="C181" s="417"/>
      <c r="D181" s="412"/>
      <c r="E181" s="395"/>
      <c r="F181" s="412"/>
      <c r="G181" s="412"/>
      <c r="H181" s="412"/>
      <c r="I181" s="412"/>
      <c r="J181" s="412"/>
      <c r="K181" s="404"/>
      <c r="L181" s="404"/>
      <c r="M181" s="404"/>
      <c r="N181" s="404"/>
      <c r="O181" s="404"/>
      <c r="P181" s="404"/>
      <c r="Q181" s="404"/>
      <c r="R181" s="404"/>
      <c r="S181" s="395"/>
      <c r="T181" s="395"/>
      <c r="U181" s="395"/>
      <c r="V181" s="404"/>
      <c r="W181" s="404"/>
      <c r="X181" s="404"/>
      <c r="Y181" s="404"/>
      <c r="Z181" s="432"/>
      <c r="AA181" s="404"/>
      <c r="AB181" s="404"/>
      <c r="AC181" s="404"/>
    </row>
    <row r="182" spans="1:29" ht="12.75" customHeight="1" x14ac:dyDescent="0.25">
      <c r="A182" s="395"/>
      <c r="B182" s="395"/>
      <c r="C182" s="417"/>
      <c r="D182" s="412"/>
      <c r="E182" s="395"/>
      <c r="F182" s="412"/>
      <c r="G182" s="412"/>
      <c r="H182" s="412"/>
      <c r="I182" s="412"/>
      <c r="J182" s="412"/>
      <c r="K182" s="404"/>
      <c r="L182" s="404"/>
      <c r="M182" s="404"/>
      <c r="N182" s="404"/>
      <c r="O182" s="404"/>
      <c r="P182" s="404"/>
      <c r="Q182" s="404"/>
      <c r="R182" s="404"/>
      <c r="S182" s="395"/>
      <c r="T182" s="395"/>
      <c r="U182" s="395"/>
      <c r="V182" s="404"/>
      <c r="W182" s="404"/>
      <c r="X182" s="404"/>
      <c r="Y182" s="404"/>
      <c r="Z182" s="432"/>
      <c r="AA182" s="404"/>
      <c r="AB182" s="404"/>
      <c r="AC182" s="404"/>
    </row>
    <row r="183" spans="1:29" ht="12.75" customHeight="1" x14ac:dyDescent="0.25">
      <c r="A183" s="395"/>
      <c r="B183" s="395"/>
      <c r="C183" s="417"/>
      <c r="D183" s="412"/>
      <c r="E183" s="395"/>
      <c r="F183" s="412"/>
      <c r="G183" s="412"/>
      <c r="H183" s="412"/>
      <c r="I183" s="412"/>
      <c r="J183" s="412"/>
      <c r="K183" s="404"/>
      <c r="L183" s="404"/>
      <c r="M183" s="404"/>
      <c r="N183" s="404"/>
      <c r="O183" s="404"/>
      <c r="P183" s="404"/>
      <c r="Q183" s="404"/>
      <c r="R183" s="404"/>
      <c r="S183" s="395"/>
      <c r="T183" s="395"/>
      <c r="U183" s="395"/>
      <c r="V183" s="404"/>
      <c r="W183" s="404"/>
      <c r="X183" s="404"/>
      <c r="Y183" s="404"/>
      <c r="Z183" s="432"/>
      <c r="AA183" s="404"/>
      <c r="AB183" s="404"/>
      <c r="AC183" s="404"/>
    </row>
    <row r="184" spans="1:29" ht="12.75" customHeight="1" x14ac:dyDescent="0.25">
      <c r="A184" s="395"/>
      <c r="B184" s="395"/>
      <c r="C184" s="417"/>
      <c r="D184" s="412"/>
      <c r="E184" s="395"/>
      <c r="F184" s="412"/>
      <c r="G184" s="412"/>
      <c r="H184" s="412"/>
      <c r="I184" s="412"/>
      <c r="J184" s="412"/>
      <c r="K184" s="404"/>
      <c r="L184" s="404"/>
      <c r="M184" s="404"/>
      <c r="N184" s="404"/>
      <c r="O184" s="404"/>
      <c r="P184" s="404"/>
      <c r="Q184" s="404"/>
      <c r="R184" s="404"/>
      <c r="S184" s="395"/>
      <c r="T184" s="395"/>
      <c r="U184" s="395"/>
      <c r="V184" s="404"/>
      <c r="W184" s="404"/>
      <c r="X184" s="404"/>
      <c r="Y184" s="404"/>
      <c r="Z184" s="432"/>
      <c r="AA184" s="404"/>
      <c r="AB184" s="404"/>
      <c r="AC184" s="404"/>
    </row>
    <row r="185" spans="1:29" ht="12.75" customHeight="1" x14ac:dyDescent="0.25">
      <c r="A185" s="395"/>
      <c r="B185" s="395"/>
      <c r="C185" s="417"/>
      <c r="D185" s="412"/>
      <c r="E185" s="395"/>
      <c r="F185" s="412"/>
      <c r="G185" s="412"/>
      <c r="H185" s="412"/>
      <c r="I185" s="412"/>
      <c r="J185" s="412"/>
      <c r="K185" s="404"/>
      <c r="L185" s="404"/>
      <c r="M185" s="404"/>
      <c r="N185" s="404"/>
      <c r="O185" s="404"/>
      <c r="P185" s="404"/>
      <c r="Q185" s="404"/>
      <c r="R185" s="404"/>
      <c r="S185" s="395"/>
      <c r="T185" s="395"/>
      <c r="U185" s="395"/>
      <c r="V185" s="404"/>
      <c r="W185" s="404"/>
      <c r="X185" s="404"/>
      <c r="Y185" s="404"/>
      <c r="Z185" s="432"/>
      <c r="AA185" s="404"/>
      <c r="AB185" s="404"/>
      <c r="AC185" s="404"/>
    </row>
    <row r="186" spans="1:29" ht="12.75" customHeight="1" x14ac:dyDescent="0.25">
      <c r="A186" s="395"/>
      <c r="B186" s="395"/>
      <c r="C186" s="417"/>
      <c r="D186" s="412"/>
      <c r="E186" s="395"/>
      <c r="F186" s="412"/>
      <c r="G186" s="412"/>
      <c r="H186" s="412"/>
      <c r="I186" s="412"/>
      <c r="J186" s="412"/>
      <c r="K186" s="404"/>
      <c r="L186" s="404"/>
      <c r="M186" s="404"/>
      <c r="N186" s="404"/>
      <c r="O186" s="404"/>
      <c r="P186" s="404"/>
      <c r="Q186" s="404"/>
      <c r="R186" s="404"/>
      <c r="S186" s="395"/>
      <c r="T186" s="395"/>
      <c r="U186" s="395"/>
      <c r="V186" s="404"/>
      <c r="W186" s="404"/>
      <c r="X186" s="404"/>
      <c r="Y186" s="404"/>
      <c r="Z186" s="432"/>
      <c r="AA186" s="404"/>
      <c r="AB186" s="404"/>
      <c r="AC186" s="404"/>
    </row>
    <row r="187" spans="1:29" ht="12.75" customHeight="1" x14ac:dyDescent="0.25">
      <c r="A187" s="395"/>
      <c r="B187" s="395"/>
      <c r="C187" s="417"/>
      <c r="D187" s="412"/>
      <c r="E187" s="395"/>
      <c r="F187" s="412"/>
      <c r="G187" s="412"/>
      <c r="H187" s="412"/>
      <c r="I187" s="412"/>
      <c r="J187" s="412"/>
      <c r="K187" s="404"/>
      <c r="L187" s="404"/>
      <c r="M187" s="404"/>
      <c r="N187" s="404"/>
      <c r="O187" s="404"/>
      <c r="P187" s="404"/>
      <c r="Q187" s="404"/>
      <c r="R187" s="404"/>
      <c r="S187" s="395"/>
      <c r="T187" s="395"/>
      <c r="U187" s="395"/>
      <c r="V187" s="404"/>
      <c r="W187" s="404"/>
      <c r="X187" s="404"/>
      <c r="Y187" s="404"/>
      <c r="Z187" s="432"/>
      <c r="AA187" s="404"/>
      <c r="AB187" s="404"/>
      <c r="AC187" s="404"/>
    </row>
    <row r="188" spans="1:29" ht="12.75" customHeight="1" x14ac:dyDescent="0.25">
      <c r="A188" s="395"/>
      <c r="B188" s="395"/>
      <c r="C188" s="417"/>
      <c r="D188" s="412"/>
      <c r="E188" s="395"/>
      <c r="F188" s="412"/>
      <c r="G188" s="412"/>
      <c r="H188" s="412"/>
      <c r="I188" s="412"/>
      <c r="J188" s="412"/>
      <c r="K188" s="404"/>
      <c r="L188" s="404"/>
      <c r="M188" s="404"/>
      <c r="N188" s="404"/>
      <c r="O188" s="404"/>
      <c r="P188" s="404"/>
      <c r="Q188" s="404"/>
      <c r="R188" s="404"/>
      <c r="S188" s="395"/>
      <c r="T188" s="395"/>
      <c r="U188" s="395"/>
      <c r="V188" s="404"/>
      <c r="W188" s="404"/>
      <c r="X188" s="404"/>
      <c r="Y188" s="404"/>
      <c r="Z188" s="432"/>
      <c r="AA188" s="404"/>
      <c r="AB188" s="404"/>
      <c r="AC188" s="404"/>
    </row>
    <row r="189" spans="1:29" ht="12.75" customHeight="1" x14ac:dyDescent="0.25">
      <c r="A189" s="395"/>
      <c r="B189" s="395"/>
      <c r="C189" s="417"/>
      <c r="D189" s="412"/>
      <c r="E189" s="395"/>
      <c r="F189" s="412"/>
      <c r="G189" s="412"/>
      <c r="H189" s="412"/>
      <c r="I189" s="412"/>
      <c r="J189" s="412"/>
      <c r="K189" s="404"/>
      <c r="L189" s="404"/>
      <c r="M189" s="404"/>
      <c r="N189" s="404"/>
      <c r="O189" s="404"/>
      <c r="P189" s="404"/>
      <c r="Q189" s="404"/>
      <c r="R189" s="404"/>
      <c r="S189" s="395"/>
      <c r="T189" s="395"/>
      <c r="U189" s="395"/>
      <c r="V189" s="404"/>
      <c r="W189" s="404"/>
      <c r="X189" s="404"/>
      <c r="Y189" s="404"/>
      <c r="Z189" s="432"/>
      <c r="AA189" s="404"/>
      <c r="AB189" s="404"/>
      <c r="AC189" s="404"/>
    </row>
    <row r="190" spans="1:29" ht="12.75" customHeight="1" x14ac:dyDescent="0.25">
      <c r="A190" s="395"/>
      <c r="B190" s="395"/>
      <c r="C190" s="417"/>
      <c r="D190" s="412"/>
      <c r="E190" s="395"/>
      <c r="F190" s="412"/>
      <c r="G190" s="412"/>
      <c r="H190" s="412"/>
      <c r="I190" s="412"/>
      <c r="J190" s="412"/>
      <c r="K190" s="404"/>
      <c r="L190" s="404"/>
      <c r="M190" s="404"/>
      <c r="N190" s="404"/>
      <c r="O190" s="404"/>
      <c r="P190" s="404"/>
      <c r="Q190" s="404"/>
      <c r="R190" s="404"/>
      <c r="S190" s="395"/>
      <c r="T190" s="395"/>
      <c r="U190" s="395"/>
      <c r="V190" s="404"/>
      <c r="W190" s="404"/>
      <c r="X190" s="404"/>
      <c r="Y190" s="404"/>
      <c r="Z190" s="432"/>
      <c r="AA190" s="404"/>
      <c r="AB190" s="404"/>
      <c r="AC190" s="404"/>
    </row>
    <row r="191" spans="1:29" ht="12.75" customHeight="1" x14ac:dyDescent="0.25">
      <c r="A191" s="395"/>
      <c r="B191" s="395"/>
      <c r="C191" s="417"/>
      <c r="D191" s="412"/>
      <c r="E191" s="395"/>
      <c r="F191" s="412"/>
      <c r="G191" s="412"/>
      <c r="H191" s="412"/>
      <c r="I191" s="412"/>
      <c r="J191" s="412"/>
      <c r="K191" s="404"/>
      <c r="L191" s="404"/>
      <c r="M191" s="404"/>
      <c r="N191" s="404"/>
      <c r="O191" s="404"/>
      <c r="P191" s="404"/>
      <c r="Q191" s="404"/>
      <c r="R191" s="404"/>
      <c r="S191" s="395"/>
      <c r="T191" s="395"/>
      <c r="U191" s="395"/>
      <c r="V191" s="404"/>
      <c r="W191" s="404"/>
      <c r="X191" s="404"/>
      <c r="Y191" s="404"/>
      <c r="Z191" s="432"/>
      <c r="AA191" s="404"/>
      <c r="AB191" s="404"/>
      <c r="AC191" s="404"/>
    </row>
    <row r="192" spans="1:29" ht="12.75" customHeight="1" x14ac:dyDescent="0.25">
      <c r="A192" s="395"/>
      <c r="B192" s="395"/>
      <c r="C192" s="417"/>
      <c r="D192" s="412"/>
      <c r="E192" s="395"/>
      <c r="F192" s="412"/>
      <c r="G192" s="412"/>
      <c r="H192" s="412"/>
      <c r="I192" s="412"/>
      <c r="J192" s="412"/>
      <c r="K192" s="404"/>
      <c r="L192" s="404"/>
      <c r="M192" s="404"/>
      <c r="N192" s="404"/>
      <c r="O192" s="404"/>
      <c r="P192" s="404"/>
      <c r="Q192" s="404"/>
      <c r="R192" s="404"/>
      <c r="S192" s="395"/>
      <c r="T192" s="395"/>
      <c r="U192" s="395"/>
      <c r="V192" s="404"/>
      <c r="W192" s="404"/>
      <c r="X192" s="404"/>
      <c r="Y192" s="404"/>
      <c r="Z192" s="432"/>
      <c r="AA192" s="404"/>
      <c r="AB192" s="404"/>
      <c r="AC192" s="404"/>
    </row>
    <row r="193" spans="1:29" ht="12.75" customHeight="1" x14ac:dyDescent="0.25">
      <c r="A193" s="395"/>
      <c r="B193" s="395"/>
      <c r="C193" s="417"/>
      <c r="D193" s="412"/>
      <c r="E193" s="395"/>
      <c r="F193" s="412"/>
      <c r="G193" s="412"/>
      <c r="H193" s="412"/>
      <c r="I193" s="412"/>
      <c r="J193" s="412"/>
      <c r="K193" s="404"/>
      <c r="L193" s="404"/>
      <c r="M193" s="404"/>
      <c r="N193" s="404"/>
      <c r="O193" s="404"/>
      <c r="P193" s="404"/>
      <c r="Q193" s="404"/>
      <c r="R193" s="404"/>
      <c r="S193" s="395"/>
      <c r="T193" s="395"/>
      <c r="U193" s="395"/>
      <c r="V193" s="404"/>
      <c r="W193" s="404"/>
      <c r="X193" s="404"/>
      <c r="Y193" s="404"/>
      <c r="Z193" s="432"/>
      <c r="AA193" s="404"/>
      <c r="AB193" s="404"/>
      <c r="AC193" s="404"/>
    </row>
    <row r="194" spans="1:29" ht="12.75" customHeight="1" x14ac:dyDescent="0.25">
      <c r="A194" s="395"/>
      <c r="B194" s="395"/>
      <c r="C194" s="417"/>
      <c r="D194" s="412"/>
      <c r="E194" s="395"/>
      <c r="F194" s="412"/>
      <c r="G194" s="412"/>
      <c r="H194" s="412"/>
      <c r="I194" s="412"/>
      <c r="J194" s="412"/>
      <c r="K194" s="404"/>
      <c r="L194" s="404"/>
      <c r="M194" s="404"/>
      <c r="N194" s="404"/>
      <c r="O194" s="404"/>
      <c r="P194" s="404"/>
      <c r="Q194" s="404"/>
      <c r="R194" s="404"/>
      <c r="S194" s="395"/>
      <c r="T194" s="395"/>
      <c r="U194" s="395"/>
      <c r="V194" s="404"/>
      <c r="W194" s="404"/>
      <c r="X194" s="404"/>
      <c r="Y194" s="404"/>
      <c r="Z194" s="432"/>
      <c r="AA194" s="404"/>
      <c r="AB194" s="404"/>
      <c r="AC194" s="404"/>
    </row>
    <row r="195" spans="1:29" ht="12.75" customHeight="1" x14ac:dyDescent="0.25">
      <c r="A195" s="395"/>
      <c r="B195" s="395"/>
      <c r="C195" s="417"/>
      <c r="D195" s="412"/>
      <c r="E195" s="395"/>
      <c r="F195" s="412"/>
      <c r="G195" s="412"/>
      <c r="H195" s="412"/>
      <c r="I195" s="412"/>
      <c r="J195" s="412"/>
      <c r="K195" s="404"/>
      <c r="L195" s="404"/>
      <c r="M195" s="404"/>
      <c r="N195" s="404"/>
      <c r="O195" s="404"/>
      <c r="P195" s="404"/>
      <c r="Q195" s="404"/>
      <c r="R195" s="404"/>
      <c r="S195" s="395"/>
      <c r="T195" s="395"/>
      <c r="U195" s="395"/>
      <c r="V195" s="404"/>
      <c r="W195" s="404"/>
      <c r="X195" s="404"/>
      <c r="Y195" s="404"/>
      <c r="Z195" s="432"/>
      <c r="AA195" s="404"/>
      <c r="AB195" s="404"/>
      <c r="AC195" s="404"/>
    </row>
    <row r="196" spans="1:29" ht="12.75" customHeight="1" x14ac:dyDescent="0.25">
      <c r="A196" s="395"/>
      <c r="B196" s="395"/>
      <c r="C196" s="417"/>
      <c r="D196" s="412"/>
      <c r="E196" s="395"/>
      <c r="F196" s="412"/>
      <c r="G196" s="412"/>
      <c r="H196" s="412"/>
      <c r="I196" s="412"/>
      <c r="J196" s="412"/>
      <c r="K196" s="404"/>
      <c r="L196" s="404"/>
      <c r="M196" s="404"/>
      <c r="N196" s="404"/>
      <c r="O196" s="404"/>
      <c r="P196" s="404"/>
      <c r="Q196" s="404"/>
      <c r="R196" s="404"/>
      <c r="S196" s="395"/>
      <c r="T196" s="395"/>
      <c r="U196" s="395"/>
      <c r="V196" s="404"/>
      <c r="W196" s="404"/>
      <c r="X196" s="404"/>
      <c r="Y196" s="404"/>
      <c r="Z196" s="432"/>
      <c r="AA196" s="404"/>
      <c r="AB196" s="404"/>
      <c r="AC196" s="404"/>
    </row>
    <row r="197" spans="1:29" ht="12.75" customHeight="1" x14ac:dyDescent="0.25">
      <c r="A197" s="395"/>
      <c r="B197" s="395"/>
      <c r="C197" s="417"/>
      <c r="D197" s="412"/>
      <c r="E197" s="395"/>
      <c r="F197" s="412"/>
      <c r="G197" s="412"/>
      <c r="H197" s="412"/>
      <c r="I197" s="412"/>
      <c r="J197" s="412"/>
      <c r="K197" s="404"/>
      <c r="L197" s="404"/>
      <c r="M197" s="404"/>
      <c r="N197" s="404"/>
      <c r="O197" s="404"/>
      <c r="P197" s="404"/>
      <c r="Q197" s="404"/>
      <c r="R197" s="404"/>
      <c r="S197" s="395"/>
      <c r="T197" s="395"/>
      <c r="U197" s="395"/>
      <c r="V197" s="404"/>
      <c r="W197" s="404"/>
      <c r="X197" s="404"/>
      <c r="Y197" s="404"/>
      <c r="Z197" s="432"/>
      <c r="AA197" s="404"/>
      <c r="AB197" s="404"/>
      <c r="AC197" s="404"/>
    </row>
    <row r="198" spans="1:29" ht="12.75" customHeight="1" x14ac:dyDescent="0.25">
      <c r="A198" s="395"/>
      <c r="B198" s="395"/>
      <c r="C198" s="417"/>
      <c r="D198" s="412"/>
      <c r="E198" s="395"/>
      <c r="F198" s="412"/>
      <c r="G198" s="412"/>
      <c r="H198" s="412"/>
      <c r="I198" s="412"/>
      <c r="J198" s="412"/>
      <c r="K198" s="404"/>
      <c r="L198" s="404"/>
      <c r="M198" s="404"/>
      <c r="N198" s="404"/>
      <c r="O198" s="404"/>
      <c r="P198" s="404"/>
      <c r="Q198" s="404"/>
      <c r="R198" s="404"/>
      <c r="S198" s="395"/>
      <c r="T198" s="395"/>
      <c r="U198" s="395"/>
      <c r="V198" s="404"/>
      <c r="W198" s="404"/>
      <c r="X198" s="404"/>
      <c r="Y198" s="404"/>
      <c r="Z198" s="432"/>
      <c r="AA198" s="404"/>
      <c r="AB198" s="404"/>
      <c r="AC198" s="404"/>
    </row>
    <row r="199" spans="1:29" ht="12.75" customHeight="1" x14ac:dyDescent="0.25">
      <c r="A199" s="395"/>
      <c r="B199" s="395"/>
      <c r="C199" s="417"/>
      <c r="D199" s="412"/>
      <c r="E199" s="395"/>
      <c r="F199" s="412"/>
      <c r="G199" s="412"/>
      <c r="H199" s="412"/>
      <c r="I199" s="412"/>
      <c r="J199" s="412"/>
      <c r="K199" s="404"/>
      <c r="L199" s="404"/>
      <c r="M199" s="404"/>
      <c r="N199" s="404"/>
      <c r="O199" s="404"/>
      <c r="P199" s="404"/>
      <c r="Q199" s="404"/>
      <c r="R199" s="404"/>
      <c r="S199" s="395"/>
      <c r="T199" s="395"/>
      <c r="U199" s="395"/>
      <c r="V199" s="404"/>
      <c r="W199" s="404"/>
      <c r="X199" s="404"/>
      <c r="Y199" s="404"/>
      <c r="Z199" s="432"/>
      <c r="AA199" s="404"/>
      <c r="AB199" s="404"/>
      <c r="AC199" s="404"/>
    </row>
    <row r="200" spans="1:29" ht="12.75" customHeight="1" x14ac:dyDescent="0.25">
      <c r="A200" s="395"/>
      <c r="B200" s="395"/>
      <c r="C200" s="417"/>
      <c r="D200" s="412"/>
      <c r="E200" s="395"/>
      <c r="F200" s="412"/>
      <c r="G200" s="412"/>
      <c r="H200" s="412"/>
      <c r="I200" s="412"/>
      <c r="J200" s="412"/>
      <c r="K200" s="404"/>
      <c r="L200" s="404"/>
      <c r="M200" s="404"/>
      <c r="N200" s="404"/>
      <c r="O200" s="404"/>
      <c r="P200" s="404"/>
      <c r="Q200" s="404"/>
      <c r="R200" s="404"/>
      <c r="S200" s="395"/>
      <c r="T200" s="395"/>
      <c r="U200" s="395"/>
      <c r="V200" s="404"/>
      <c r="W200" s="404"/>
      <c r="X200" s="404"/>
      <c r="Y200" s="404"/>
      <c r="Z200" s="432"/>
      <c r="AA200" s="404"/>
      <c r="AB200" s="404"/>
      <c r="AC200" s="404"/>
    </row>
    <row r="201" spans="1:29" ht="12.75" customHeight="1" x14ac:dyDescent="0.25">
      <c r="A201" s="395"/>
      <c r="B201" s="395"/>
      <c r="C201" s="417"/>
      <c r="D201" s="412"/>
      <c r="E201" s="395"/>
      <c r="F201" s="412"/>
      <c r="G201" s="412"/>
      <c r="H201" s="412"/>
      <c r="I201" s="412"/>
      <c r="J201" s="412"/>
      <c r="K201" s="404"/>
      <c r="L201" s="404"/>
      <c r="M201" s="404"/>
      <c r="N201" s="404"/>
      <c r="O201" s="404"/>
      <c r="P201" s="404"/>
      <c r="Q201" s="404"/>
      <c r="R201" s="404"/>
      <c r="S201" s="395"/>
      <c r="T201" s="395"/>
      <c r="U201" s="395"/>
      <c r="V201" s="404"/>
      <c r="W201" s="404"/>
      <c r="X201" s="404"/>
      <c r="Y201" s="404"/>
      <c r="Z201" s="432"/>
      <c r="AA201" s="404"/>
      <c r="AB201" s="404"/>
      <c r="AC201" s="404"/>
    </row>
    <row r="202" spans="1:29" ht="12.75" customHeight="1" x14ac:dyDescent="0.25">
      <c r="A202" s="395"/>
      <c r="B202" s="395"/>
      <c r="C202" s="417"/>
      <c r="D202" s="412"/>
      <c r="E202" s="395"/>
      <c r="F202" s="412"/>
      <c r="G202" s="412"/>
      <c r="H202" s="412"/>
      <c r="I202" s="412"/>
      <c r="J202" s="412"/>
      <c r="K202" s="404"/>
      <c r="L202" s="404"/>
      <c r="M202" s="404"/>
      <c r="N202" s="404"/>
      <c r="O202" s="404"/>
      <c r="P202" s="404"/>
      <c r="Q202" s="404"/>
      <c r="R202" s="404"/>
      <c r="S202" s="395"/>
      <c r="T202" s="395"/>
      <c r="U202" s="395"/>
      <c r="V202" s="404"/>
      <c r="W202" s="404"/>
      <c r="X202" s="404"/>
      <c r="Y202" s="404"/>
      <c r="Z202" s="432"/>
      <c r="AA202" s="404"/>
      <c r="AB202" s="404"/>
      <c r="AC202" s="404"/>
    </row>
    <row r="203" spans="1:29" ht="12.75" customHeight="1" x14ac:dyDescent="0.25">
      <c r="A203" s="395"/>
      <c r="B203" s="395"/>
      <c r="C203" s="417"/>
      <c r="D203" s="412"/>
      <c r="E203" s="395"/>
      <c r="F203" s="412"/>
      <c r="G203" s="412"/>
      <c r="H203" s="412"/>
      <c r="I203" s="412"/>
      <c r="J203" s="412"/>
      <c r="K203" s="404"/>
      <c r="L203" s="404"/>
      <c r="M203" s="404"/>
      <c r="N203" s="404"/>
      <c r="O203" s="404"/>
      <c r="P203" s="404"/>
      <c r="Q203" s="404"/>
      <c r="R203" s="404"/>
      <c r="S203" s="395"/>
      <c r="T203" s="395"/>
      <c r="U203" s="395"/>
      <c r="V203" s="404"/>
      <c r="W203" s="404"/>
      <c r="X203" s="404"/>
      <c r="Y203" s="404"/>
      <c r="Z203" s="432"/>
      <c r="AA203" s="404"/>
      <c r="AB203" s="404"/>
      <c r="AC203" s="404"/>
    </row>
    <row r="204" spans="1:29" ht="12.75" customHeight="1" x14ac:dyDescent="0.25">
      <c r="A204" s="395"/>
      <c r="B204" s="395"/>
      <c r="C204" s="417"/>
      <c r="D204" s="412"/>
      <c r="E204" s="395"/>
      <c r="F204" s="412"/>
      <c r="G204" s="412"/>
      <c r="H204" s="412"/>
      <c r="I204" s="412"/>
      <c r="J204" s="412"/>
      <c r="K204" s="404"/>
      <c r="L204" s="404"/>
      <c r="M204" s="404"/>
      <c r="N204" s="404"/>
      <c r="O204" s="404"/>
      <c r="P204" s="404"/>
      <c r="Q204" s="404"/>
      <c r="R204" s="404"/>
      <c r="S204" s="395"/>
      <c r="T204" s="395"/>
      <c r="U204" s="395"/>
      <c r="V204" s="404"/>
      <c r="W204" s="404"/>
      <c r="X204" s="404"/>
      <c r="Y204" s="404"/>
      <c r="Z204" s="432"/>
      <c r="AA204" s="404"/>
      <c r="AB204" s="404"/>
      <c r="AC204" s="404"/>
    </row>
    <row r="205" spans="1:29" ht="12.75" customHeight="1" x14ac:dyDescent="0.25">
      <c r="A205" s="395"/>
      <c r="B205" s="395"/>
      <c r="C205" s="417"/>
      <c r="D205" s="412"/>
      <c r="E205" s="395"/>
      <c r="F205" s="412"/>
      <c r="G205" s="412"/>
      <c r="H205" s="412"/>
      <c r="I205" s="412"/>
      <c r="J205" s="412"/>
      <c r="K205" s="404"/>
      <c r="L205" s="404"/>
      <c r="M205" s="404"/>
      <c r="N205" s="404"/>
      <c r="O205" s="404"/>
      <c r="P205" s="404"/>
      <c r="Q205" s="404"/>
      <c r="R205" s="404"/>
      <c r="S205" s="395"/>
      <c r="T205" s="395"/>
      <c r="U205" s="395"/>
      <c r="V205" s="404"/>
      <c r="W205" s="404"/>
      <c r="X205" s="404"/>
      <c r="Y205" s="404"/>
      <c r="Z205" s="432"/>
      <c r="AA205" s="404"/>
      <c r="AB205" s="404"/>
      <c r="AC205" s="404"/>
    </row>
    <row r="206" spans="1:29" ht="12.75" customHeight="1" x14ac:dyDescent="0.25">
      <c r="A206" s="395"/>
      <c r="B206" s="395"/>
      <c r="C206" s="417"/>
      <c r="D206" s="412"/>
      <c r="E206" s="395"/>
      <c r="F206" s="412"/>
      <c r="G206" s="412"/>
      <c r="H206" s="412"/>
      <c r="I206" s="412"/>
      <c r="J206" s="412"/>
      <c r="K206" s="404"/>
      <c r="L206" s="404"/>
      <c r="M206" s="404"/>
      <c r="N206" s="404"/>
      <c r="O206" s="404"/>
      <c r="P206" s="404"/>
      <c r="Q206" s="404"/>
      <c r="R206" s="404"/>
      <c r="S206" s="395"/>
      <c r="T206" s="395"/>
      <c r="U206" s="395"/>
      <c r="V206" s="404"/>
      <c r="W206" s="404"/>
      <c r="X206" s="404"/>
      <c r="Y206" s="404"/>
      <c r="Z206" s="432"/>
      <c r="AA206" s="404"/>
      <c r="AB206" s="404"/>
      <c r="AC206" s="404"/>
    </row>
    <row r="207" spans="1:29" ht="12.75" customHeight="1" x14ac:dyDescent="0.25">
      <c r="A207" s="395"/>
      <c r="B207" s="395"/>
      <c r="C207" s="417"/>
      <c r="D207" s="412"/>
      <c r="E207" s="395"/>
      <c r="F207" s="412"/>
      <c r="G207" s="412"/>
      <c r="H207" s="412"/>
      <c r="I207" s="412"/>
      <c r="J207" s="412"/>
      <c r="K207" s="404"/>
      <c r="L207" s="404"/>
      <c r="M207" s="404"/>
      <c r="N207" s="404"/>
      <c r="O207" s="404"/>
      <c r="P207" s="404"/>
      <c r="Q207" s="404"/>
      <c r="R207" s="404"/>
      <c r="S207" s="395"/>
      <c r="T207" s="395"/>
      <c r="U207" s="395"/>
      <c r="V207" s="404"/>
      <c r="W207" s="404"/>
      <c r="X207" s="404"/>
      <c r="Y207" s="404"/>
      <c r="Z207" s="432"/>
      <c r="AA207" s="404"/>
      <c r="AB207" s="404"/>
      <c r="AC207" s="404"/>
    </row>
    <row r="208" spans="1:29" ht="12.75" customHeight="1" x14ac:dyDescent="0.25">
      <c r="A208" s="395"/>
      <c r="B208" s="395"/>
      <c r="C208" s="417"/>
      <c r="D208" s="412"/>
      <c r="E208" s="395"/>
      <c r="F208" s="412"/>
      <c r="G208" s="412"/>
      <c r="H208" s="412"/>
      <c r="I208" s="412"/>
      <c r="J208" s="412"/>
      <c r="K208" s="404"/>
      <c r="L208" s="404"/>
      <c r="M208" s="404"/>
      <c r="N208" s="404"/>
      <c r="O208" s="404"/>
      <c r="P208" s="404"/>
      <c r="Q208" s="404"/>
      <c r="R208" s="404"/>
      <c r="S208" s="395"/>
      <c r="T208" s="395"/>
      <c r="U208" s="395"/>
      <c r="V208" s="404"/>
      <c r="W208" s="404"/>
      <c r="X208" s="404"/>
      <c r="Y208" s="404"/>
      <c r="Z208" s="432"/>
      <c r="AA208" s="404"/>
      <c r="AB208" s="404"/>
      <c r="AC208" s="404"/>
    </row>
    <row r="209" spans="1:29" ht="12.75" customHeight="1" x14ac:dyDescent="0.25">
      <c r="A209" s="395"/>
      <c r="B209" s="395"/>
      <c r="C209" s="417"/>
      <c r="D209" s="412"/>
      <c r="E209" s="395"/>
      <c r="F209" s="412"/>
      <c r="G209" s="412"/>
      <c r="H209" s="412"/>
      <c r="I209" s="412"/>
      <c r="J209" s="412"/>
      <c r="K209" s="404"/>
      <c r="L209" s="404"/>
      <c r="M209" s="404"/>
      <c r="N209" s="404"/>
      <c r="O209" s="404"/>
      <c r="P209" s="404"/>
      <c r="Q209" s="404"/>
      <c r="R209" s="404"/>
      <c r="S209" s="395"/>
      <c r="T209" s="395"/>
      <c r="U209" s="395"/>
      <c r="V209" s="404"/>
      <c r="W209" s="404"/>
      <c r="X209" s="404"/>
      <c r="Y209" s="404"/>
      <c r="Z209" s="432"/>
      <c r="AA209" s="404"/>
      <c r="AB209" s="404"/>
      <c r="AC209" s="404"/>
    </row>
    <row r="210" spans="1:29" ht="12.75" customHeight="1" x14ac:dyDescent="0.25">
      <c r="A210" s="395"/>
      <c r="B210" s="395"/>
      <c r="C210" s="417"/>
      <c r="D210" s="412"/>
      <c r="E210" s="395"/>
      <c r="F210" s="412"/>
      <c r="G210" s="412"/>
      <c r="H210" s="412"/>
      <c r="I210" s="412"/>
      <c r="J210" s="412"/>
      <c r="K210" s="404"/>
      <c r="L210" s="404"/>
      <c r="M210" s="404"/>
      <c r="N210" s="404"/>
      <c r="O210" s="404"/>
      <c r="P210" s="404"/>
      <c r="Q210" s="404"/>
      <c r="R210" s="404"/>
      <c r="S210" s="395"/>
      <c r="T210" s="395"/>
      <c r="U210" s="395"/>
      <c r="V210" s="404"/>
      <c r="W210" s="404"/>
      <c r="X210" s="404"/>
      <c r="Y210" s="404"/>
      <c r="Z210" s="432"/>
      <c r="AA210" s="404"/>
      <c r="AB210" s="404"/>
      <c r="AC210" s="404"/>
    </row>
    <row r="211" spans="1:29" ht="12.75" customHeight="1" x14ac:dyDescent="0.25">
      <c r="A211" s="395"/>
      <c r="B211" s="395"/>
      <c r="C211" s="417"/>
      <c r="D211" s="412"/>
      <c r="E211" s="395"/>
      <c r="F211" s="412"/>
      <c r="G211" s="412"/>
      <c r="H211" s="412"/>
      <c r="I211" s="412"/>
      <c r="J211" s="412"/>
      <c r="K211" s="404"/>
      <c r="L211" s="404"/>
      <c r="M211" s="404"/>
      <c r="N211" s="404"/>
      <c r="O211" s="404"/>
      <c r="P211" s="404"/>
      <c r="Q211" s="404"/>
      <c r="R211" s="404"/>
      <c r="S211" s="395"/>
      <c r="T211" s="395"/>
      <c r="U211" s="395"/>
      <c r="V211" s="404"/>
      <c r="W211" s="404"/>
      <c r="X211" s="404"/>
      <c r="Y211" s="404"/>
      <c r="Z211" s="432"/>
      <c r="AA211" s="404"/>
      <c r="AB211" s="404"/>
      <c r="AC211" s="404"/>
    </row>
    <row r="212" spans="1:29" ht="12.75" customHeight="1" x14ac:dyDescent="0.25">
      <c r="A212" s="395"/>
      <c r="B212" s="395"/>
      <c r="C212" s="417"/>
      <c r="D212" s="412"/>
      <c r="E212" s="395"/>
      <c r="F212" s="412"/>
      <c r="G212" s="412"/>
      <c r="H212" s="412"/>
      <c r="I212" s="412"/>
      <c r="J212" s="412"/>
      <c r="K212" s="404"/>
      <c r="L212" s="404"/>
      <c r="M212" s="404"/>
      <c r="N212" s="404"/>
      <c r="O212" s="404"/>
      <c r="P212" s="404"/>
      <c r="Q212" s="404"/>
      <c r="R212" s="404"/>
      <c r="S212" s="395"/>
      <c r="T212" s="395"/>
      <c r="U212" s="395"/>
      <c r="V212" s="404"/>
      <c r="W212" s="404"/>
      <c r="X212" s="404"/>
      <c r="Y212" s="404"/>
      <c r="Z212" s="432"/>
      <c r="AA212" s="404"/>
      <c r="AB212" s="404"/>
      <c r="AC212" s="404"/>
    </row>
    <row r="213" spans="1:29" ht="12.75" customHeight="1" x14ac:dyDescent="0.25">
      <c r="A213" s="395"/>
      <c r="B213" s="395"/>
      <c r="C213" s="417"/>
      <c r="D213" s="412"/>
      <c r="E213" s="395"/>
      <c r="F213" s="412"/>
      <c r="G213" s="412"/>
      <c r="H213" s="412"/>
      <c r="I213" s="412"/>
      <c r="J213" s="412"/>
      <c r="K213" s="404"/>
      <c r="L213" s="404"/>
      <c r="M213" s="404"/>
      <c r="N213" s="404"/>
      <c r="O213" s="404"/>
      <c r="P213" s="404"/>
      <c r="Q213" s="404"/>
      <c r="R213" s="404"/>
      <c r="S213" s="395"/>
      <c r="T213" s="395"/>
      <c r="U213" s="395"/>
      <c r="V213" s="404"/>
      <c r="W213" s="404"/>
      <c r="X213" s="404"/>
      <c r="Y213" s="404"/>
      <c r="Z213" s="432"/>
      <c r="AA213" s="404"/>
      <c r="AB213" s="404"/>
      <c r="AC213" s="404"/>
    </row>
    <row r="214" spans="1:29" ht="12.75" customHeight="1" x14ac:dyDescent="0.25">
      <c r="A214" s="395"/>
      <c r="B214" s="395"/>
      <c r="C214" s="417"/>
      <c r="D214" s="412"/>
      <c r="E214" s="395"/>
      <c r="F214" s="412"/>
      <c r="G214" s="412"/>
      <c r="H214" s="412"/>
      <c r="I214" s="412"/>
      <c r="J214" s="412"/>
      <c r="K214" s="404"/>
      <c r="L214" s="404"/>
      <c r="M214" s="404"/>
      <c r="N214" s="404"/>
      <c r="O214" s="404"/>
      <c r="P214" s="404"/>
      <c r="Q214" s="404"/>
      <c r="R214" s="404"/>
      <c r="S214" s="395"/>
      <c r="T214" s="395"/>
      <c r="U214" s="395"/>
      <c r="V214" s="404"/>
      <c r="W214" s="404"/>
      <c r="X214" s="404"/>
      <c r="Y214" s="404"/>
      <c r="Z214" s="432"/>
      <c r="AA214" s="404"/>
      <c r="AB214" s="404"/>
      <c r="AC214" s="404"/>
    </row>
    <row r="215" spans="1:29" ht="12.75" customHeight="1" x14ac:dyDescent="0.25">
      <c r="A215" s="395"/>
      <c r="B215" s="395"/>
      <c r="C215" s="417"/>
      <c r="D215" s="412"/>
      <c r="E215" s="395"/>
      <c r="F215" s="412"/>
      <c r="G215" s="412"/>
      <c r="H215" s="412"/>
      <c r="I215" s="412"/>
      <c r="J215" s="412"/>
      <c r="K215" s="404"/>
      <c r="L215" s="404"/>
      <c r="M215" s="404"/>
      <c r="N215" s="404"/>
      <c r="O215" s="404"/>
      <c r="P215" s="404"/>
      <c r="Q215" s="404"/>
      <c r="R215" s="404"/>
      <c r="S215" s="395"/>
      <c r="T215" s="395"/>
      <c r="U215" s="395"/>
      <c r="V215" s="404"/>
      <c r="W215" s="404"/>
      <c r="X215" s="404"/>
      <c r="Y215" s="404"/>
      <c r="Z215" s="432"/>
      <c r="AA215" s="404"/>
      <c r="AB215" s="404"/>
      <c r="AC215" s="404"/>
    </row>
    <row r="216" spans="1:29" ht="12.75" customHeight="1" x14ac:dyDescent="0.25">
      <c r="A216" s="395"/>
      <c r="B216" s="395"/>
      <c r="C216" s="417"/>
      <c r="D216" s="412"/>
      <c r="E216" s="395"/>
      <c r="F216" s="412"/>
      <c r="G216" s="412"/>
      <c r="H216" s="412"/>
      <c r="I216" s="412"/>
      <c r="J216" s="412"/>
      <c r="K216" s="404"/>
      <c r="L216" s="404"/>
      <c r="M216" s="404"/>
      <c r="N216" s="404"/>
      <c r="O216" s="404"/>
      <c r="P216" s="404"/>
      <c r="Q216" s="404"/>
      <c r="R216" s="404"/>
      <c r="S216" s="395"/>
      <c r="T216" s="395"/>
      <c r="U216" s="395"/>
      <c r="V216" s="404"/>
      <c r="W216" s="404"/>
      <c r="X216" s="404"/>
      <c r="Y216" s="404"/>
      <c r="Z216" s="432"/>
      <c r="AA216" s="404"/>
      <c r="AB216" s="404"/>
      <c r="AC216" s="404"/>
    </row>
    <row r="217" spans="1:29" ht="12.75" customHeight="1" x14ac:dyDescent="0.25">
      <c r="A217" s="395"/>
      <c r="B217" s="395"/>
      <c r="C217" s="417"/>
      <c r="D217" s="412"/>
      <c r="E217" s="395"/>
      <c r="F217" s="412"/>
      <c r="G217" s="412"/>
      <c r="H217" s="412"/>
      <c r="I217" s="412"/>
      <c r="J217" s="412"/>
      <c r="K217" s="404"/>
      <c r="L217" s="404"/>
      <c r="M217" s="404"/>
      <c r="N217" s="404"/>
      <c r="O217" s="404"/>
      <c r="P217" s="404"/>
      <c r="Q217" s="404"/>
      <c r="R217" s="404"/>
      <c r="S217" s="395"/>
      <c r="T217" s="395"/>
      <c r="U217" s="395"/>
      <c r="V217" s="404"/>
      <c r="W217" s="404"/>
      <c r="X217" s="404"/>
      <c r="Y217" s="404"/>
      <c r="Z217" s="432"/>
      <c r="AA217" s="404"/>
      <c r="AB217" s="404"/>
      <c r="AC217" s="404"/>
    </row>
    <row r="218" spans="1:29" ht="12.75" customHeight="1" x14ac:dyDescent="0.25">
      <c r="A218" s="395"/>
      <c r="B218" s="395"/>
      <c r="C218" s="417"/>
      <c r="D218" s="412"/>
      <c r="E218" s="395"/>
      <c r="F218" s="412"/>
      <c r="G218" s="412"/>
      <c r="H218" s="412"/>
      <c r="I218" s="412"/>
      <c r="J218" s="412"/>
      <c r="K218" s="404"/>
      <c r="L218" s="404"/>
      <c r="M218" s="404"/>
      <c r="N218" s="404"/>
      <c r="O218" s="404"/>
      <c r="P218" s="404"/>
      <c r="Q218" s="404"/>
      <c r="R218" s="404"/>
      <c r="S218" s="395"/>
      <c r="T218" s="395"/>
      <c r="U218" s="395"/>
      <c r="V218" s="404"/>
      <c r="W218" s="404"/>
      <c r="X218" s="404"/>
      <c r="Y218" s="404"/>
      <c r="Z218" s="432"/>
      <c r="AA218" s="404"/>
      <c r="AB218" s="404"/>
      <c r="AC218" s="404"/>
    </row>
    <row r="219" spans="1:29" ht="12.75" customHeight="1" x14ac:dyDescent="0.25">
      <c r="A219" s="395"/>
      <c r="B219" s="395"/>
      <c r="C219" s="417"/>
      <c r="D219" s="412"/>
      <c r="E219" s="395"/>
      <c r="F219" s="412"/>
      <c r="G219" s="412"/>
      <c r="H219" s="412"/>
      <c r="I219" s="412"/>
      <c r="J219" s="412"/>
      <c r="K219" s="404"/>
      <c r="L219" s="404"/>
      <c r="M219" s="404"/>
      <c r="N219" s="404"/>
      <c r="O219" s="404"/>
      <c r="P219" s="404"/>
      <c r="Q219" s="404"/>
      <c r="R219" s="404"/>
      <c r="S219" s="395"/>
      <c r="T219" s="395"/>
      <c r="U219" s="395"/>
      <c r="V219" s="404"/>
      <c r="W219" s="404"/>
      <c r="X219" s="404"/>
      <c r="Y219" s="404"/>
      <c r="Z219" s="432"/>
      <c r="AA219" s="404"/>
      <c r="AB219" s="404"/>
      <c r="AC219" s="404"/>
    </row>
    <row r="220" spans="1:29" ht="12.75" customHeight="1" x14ac:dyDescent="0.25">
      <c r="A220" s="395"/>
      <c r="B220" s="395"/>
      <c r="C220" s="417"/>
      <c r="D220" s="412"/>
      <c r="E220" s="395"/>
      <c r="F220" s="412"/>
      <c r="G220" s="412"/>
      <c r="H220" s="412"/>
      <c r="I220" s="412"/>
      <c r="J220" s="412"/>
      <c r="K220" s="404"/>
      <c r="L220" s="404"/>
      <c r="M220" s="404"/>
      <c r="N220" s="404"/>
      <c r="O220" s="404"/>
      <c r="P220" s="404"/>
      <c r="Q220" s="404"/>
      <c r="R220" s="404"/>
      <c r="S220" s="395"/>
      <c r="T220" s="395"/>
      <c r="U220" s="395"/>
      <c r="V220" s="404"/>
      <c r="W220" s="404"/>
      <c r="X220" s="404"/>
      <c r="Y220" s="404"/>
      <c r="Z220" s="432"/>
      <c r="AA220" s="404"/>
      <c r="AB220" s="404"/>
      <c r="AC220" s="404"/>
    </row>
    <row r="221" spans="1:29" ht="12.75" customHeight="1" x14ac:dyDescent="0.25">
      <c r="A221" s="395"/>
      <c r="B221" s="395"/>
      <c r="C221" s="417"/>
      <c r="D221" s="412"/>
      <c r="E221" s="395"/>
      <c r="F221" s="412"/>
      <c r="G221" s="412"/>
      <c r="H221" s="412"/>
      <c r="I221" s="412"/>
      <c r="J221" s="412"/>
      <c r="K221" s="404"/>
      <c r="L221" s="404"/>
      <c r="M221" s="404"/>
      <c r="N221" s="404"/>
      <c r="O221" s="404"/>
      <c r="P221" s="404"/>
      <c r="Q221" s="404"/>
      <c r="R221" s="404"/>
      <c r="S221" s="395"/>
      <c r="T221" s="395"/>
      <c r="U221" s="395"/>
      <c r="V221" s="404"/>
      <c r="W221" s="404"/>
      <c r="X221" s="404"/>
      <c r="Y221" s="404"/>
      <c r="Z221" s="432"/>
      <c r="AA221" s="404"/>
      <c r="AB221" s="404"/>
      <c r="AC221" s="404"/>
    </row>
    <row r="222" spans="1:29" ht="12.75" customHeight="1" x14ac:dyDescent="0.25">
      <c r="A222" s="395"/>
      <c r="B222" s="395"/>
      <c r="C222" s="417"/>
      <c r="D222" s="412"/>
      <c r="E222" s="395"/>
      <c r="F222" s="412"/>
      <c r="G222" s="412"/>
      <c r="H222" s="412"/>
      <c r="I222" s="412"/>
      <c r="J222" s="412"/>
      <c r="K222" s="404"/>
      <c r="L222" s="404"/>
      <c r="M222" s="404"/>
      <c r="N222" s="404"/>
      <c r="O222" s="404"/>
      <c r="P222" s="404"/>
      <c r="Q222" s="404"/>
      <c r="R222" s="404"/>
      <c r="S222" s="395"/>
      <c r="T222" s="395"/>
      <c r="U222" s="395"/>
      <c r="V222" s="404"/>
      <c r="W222" s="404"/>
      <c r="X222" s="404"/>
      <c r="Y222" s="404"/>
      <c r="Z222" s="432"/>
      <c r="AA222" s="404"/>
      <c r="AB222" s="404"/>
      <c r="AC222" s="404"/>
    </row>
    <row r="223" spans="1:29" ht="12.75" customHeight="1" x14ac:dyDescent="0.25">
      <c r="A223" s="395"/>
      <c r="B223" s="395"/>
      <c r="C223" s="417"/>
      <c r="D223" s="412"/>
      <c r="E223" s="395"/>
      <c r="F223" s="412"/>
      <c r="G223" s="412"/>
      <c r="H223" s="412"/>
      <c r="I223" s="412"/>
      <c r="J223" s="412"/>
      <c r="K223" s="404"/>
      <c r="L223" s="404"/>
      <c r="M223" s="404"/>
      <c r="N223" s="404"/>
      <c r="O223" s="404"/>
      <c r="P223" s="404"/>
      <c r="Q223" s="404"/>
      <c r="R223" s="404"/>
      <c r="S223" s="395"/>
      <c r="T223" s="395"/>
      <c r="U223" s="395"/>
      <c r="V223" s="404"/>
      <c r="W223" s="404"/>
      <c r="X223" s="404"/>
      <c r="Y223" s="404"/>
      <c r="Z223" s="432"/>
      <c r="AA223" s="404"/>
      <c r="AB223" s="404"/>
      <c r="AC223" s="404"/>
    </row>
    <row r="224" spans="1:29" ht="12.75" customHeight="1" x14ac:dyDescent="0.25">
      <c r="A224" s="395"/>
      <c r="B224" s="395"/>
      <c r="C224" s="417"/>
      <c r="D224" s="412"/>
      <c r="E224" s="395"/>
      <c r="F224" s="412"/>
      <c r="G224" s="412"/>
      <c r="H224" s="412"/>
      <c r="I224" s="412"/>
      <c r="J224" s="412"/>
      <c r="K224" s="404"/>
      <c r="L224" s="404"/>
      <c r="M224" s="404"/>
      <c r="N224" s="404"/>
      <c r="O224" s="404"/>
      <c r="P224" s="404"/>
      <c r="Q224" s="404"/>
      <c r="R224" s="404"/>
      <c r="S224" s="395"/>
      <c r="T224" s="395"/>
      <c r="U224" s="395"/>
      <c r="V224" s="404"/>
      <c r="W224" s="404"/>
      <c r="X224" s="404"/>
      <c r="Y224" s="404"/>
      <c r="Z224" s="432"/>
      <c r="AA224" s="404"/>
      <c r="AB224" s="404"/>
      <c r="AC224" s="404"/>
    </row>
    <row r="225" spans="1:29" ht="12.75" customHeight="1" x14ac:dyDescent="0.25">
      <c r="A225" s="395"/>
      <c r="B225" s="395"/>
      <c r="C225" s="417"/>
      <c r="D225" s="412"/>
      <c r="E225" s="395"/>
      <c r="F225" s="412"/>
      <c r="G225" s="412"/>
      <c r="H225" s="412"/>
      <c r="I225" s="412"/>
      <c r="J225" s="412"/>
      <c r="K225" s="404"/>
      <c r="L225" s="404"/>
      <c r="M225" s="404"/>
      <c r="N225" s="404"/>
      <c r="O225" s="404"/>
      <c r="P225" s="404"/>
      <c r="Q225" s="404"/>
      <c r="R225" s="404"/>
      <c r="S225" s="395"/>
      <c r="T225" s="395"/>
      <c r="U225" s="395"/>
      <c r="V225" s="404"/>
      <c r="W225" s="404"/>
      <c r="X225" s="404"/>
      <c r="Y225" s="404"/>
      <c r="Z225" s="432"/>
      <c r="AA225" s="404"/>
      <c r="AB225" s="404"/>
      <c r="AC225" s="404"/>
    </row>
    <row r="226" spans="1:29" ht="12.75" customHeight="1" x14ac:dyDescent="0.25">
      <c r="A226" s="395"/>
      <c r="B226" s="395"/>
      <c r="C226" s="417"/>
      <c r="D226" s="412"/>
      <c r="E226" s="395"/>
      <c r="F226" s="412"/>
      <c r="G226" s="412"/>
      <c r="H226" s="412"/>
      <c r="I226" s="412"/>
      <c r="J226" s="412"/>
      <c r="K226" s="404"/>
      <c r="L226" s="404"/>
      <c r="M226" s="404"/>
      <c r="N226" s="404"/>
      <c r="O226" s="404"/>
      <c r="P226" s="404"/>
      <c r="Q226" s="404"/>
      <c r="R226" s="404"/>
      <c r="S226" s="395"/>
      <c r="T226" s="395"/>
      <c r="U226" s="395"/>
      <c r="V226" s="404"/>
      <c r="W226" s="404"/>
      <c r="X226" s="404"/>
      <c r="Y226" s="404"/>
      <c r="Z226" s="432"/>
      <c r="AA226" s="404"/>
      <c r="AB226" s="404"/>
      <c r="AC226" s="404"/>
    </row>
    <row r="227" spans="1:29" ht="12.75" customHeight="1" x14ac:dyDescent="0.25">
      <c r="A227" s="395"/>
      <c r="B227" s="395"/>
      <c r="C227" s="417"/>
      <c r="D227" s="412"/>
      <c r="E227" s="395"/>
      <c r="F227" s="412"/>
      <c r="G227" s="412"/>
      <c r="H227" s="412"/>
      <c r="I227" s="412"/>
      <c r="J227" s="412"/>
      <c r="K227" s="404"/>
      <c r="L227" s="404"/>
      <c r="M227" s="404"/>
      <c r="N227" s="404"/>
      <c r="O227" s="404"/>
      <c r="P227" s="404"/>
      <c r="Q227" s="404"/>
      <c r="R227" s="404"/>
      <c r="S227" s="395"/>
      <c r="T227" s="395"/>
      <c r="U227" s="395"/>
      <c r="V227" s="404"/>
      <c r="W227" s="404"/>
      <c r="X227" s="404"/>
      <c r="Y227" s="404"/>
      <c r="Z227" s="432"/>
      <c r="AA227" s="404"/>
      <c r="AB227" s="404"/>
      <c r="AC227" s="404"/>
    </row>
    <row r="228" spans="1:29" ht="12.75" customHeight="1" x14ac:dyDescent="0.25">
      <c r="A228" s="395"/>
      <c r="B228" s="395"/>
      <c r="C228" s="417"/>
      <c r="D228" s="412"/>
      <c r="E228" s="395"/>
      <c r="F228" s="412"/>
      <c r="G228" s="412"/>
      <c r="H228" s="412"/>
      <c r="I228" s="412"/>
      <c r="J228" s="412"/>
      <c r="K228" s="404"/>
      <c r="L228" s="404"/>
      <c r="M228" s="404"/>
      <c r="N228" s="404"/>
      <c r="O228" s="404"/>
      <c r="P228" s="404"/>
      <c r="Q228" s="404"/>
      <c r="R228" s="404"/>
      <c r="S228" s="395"/>
      <c r="T228" s="395"/>
      <c r="U228" s="395"/>
      <c r="V228" s="404"/>
      <c r="W228" s="404"/>
      <c r="X228" s="404"/>
      <c r="Y228" s="404"/>
      <c r="Z228" s="432"/>
      <c r="AA228" s="404"/>
      <c r="AB228" s="404"/>
      <c r="AC228" s="404"/>
    </row>
    <row r="229" spans="1:29" ht="12.75" customHeight="1" x14ac:dyDescent="0.25">
      <c r="A229" s="395"/>
      <c r="B229" s="395"/>
      <c r="C229" s="417"/>
      <c r="D229" s="412"/>
      <c r="E229" s="395"/>
      <c r="F229" s="412"/>
      <c r="G229" s="412"/>
      <c r="H229" s="412"/>
      <c r="I229" s="412"/>
      <c r="J229" s="412"/>
      <c r="K229" s="404"/>
      <c r="L229" s="404"/>
      <c r="M229" s="404"/>
      <c r="N229" s="404"/>
      <c r="O229" s="404"/>
      <c r="P229" s="404"/>
      <c r="Q229" s="404"/>
      <c r="R229" s="404"/>
      <c r="S229" s="395"/>
      <c r="T229" s="395"/>
      <c r="U229" s="395"/>
      <c r="V229" s="404"/>
      <c r="W229" s="404"/>
      <c r="X229" s="404"/>
      <c r="Y229" s="404"/>
      <c r="Z229" s="432"/>
      <c r="AA229" s="404"/>
      <c r="AB229" s="404"/>
      <c r="AC229" s="404"/>
    </row>
    <row r="230" spans="1:29" ht="12.75" customHeight="1" x14ac:dyDescent="0.25">
      <c r="A230" s="395"/>
      <c r="B230" s="395"/>
      <c r="C230" s="417"/>
      <c r="D230" s="412"/>
      <c r="E230" s="395"/>
      <c r="F230" s="412"/>
      <c r="G230" s="412"/>
      <c r="H230" s="412"/>
      <c r="I230" s="412"/>
      <c r="J230" s="412"/>
      <c r="K230" s="404"/>
      <c r="L230" s="404"/>
      <c r="M230" s="404"/>
      <c r="N230" s="404"/>
      <c r="O230" s="404"/>
      <c r="P230" s="404"/>
      <c r="Q230" s="404"/>
      <c r="R230" s="404"/>
      <c r="S230" s="395"/>
      <c r="T230" s="395"/>
      <c r="U230" s="395"/>
      <c r="V230" s="404"/>
      <c r="W230" s="404"/>
      <c r="X230" s="404"/>
      <c r="Y230" s="404"/>
      <c r="Z230" s="432"/>
      <c r="AA230" s="404"/>
      <c r="AB230" s="404"/>
      <c r="AC230" s="404"/>
    </row>
    <row r="231" spans="1:29" ht="12.75" customHeight="1" x14ac:dyDescent="0.25">
      <c r="A231" s="395"/>
      <c r="B231" s="395"/>
      <c r="C231" s="417"/>
      <c r="D231" s="412"/>
      <c r="E231" s="395"/>
      <c r="F231" s="412"/>
      <c r="G231" s="412"/>
      <c r="H231" s="412"/>
      <c r="I231" s="412"/>
      <c r="J231" s="412"/>
      <c r="K231" s="404"/>
      <c r="L231" s="404"/>
      <c r="M231" s="404"/>
      <c r="N231" s="404"/>
      <c r="O231" s="404"/>
      <c r="P231" s="404"/>
      <c r="Q231" s="404"/>
      <c r="R231" s="404"/>
      <c r="S231" s="395"/>
      <c r="T231" s="395"/>
      <c r="U231" s="395"/>
      <c r="V231" s="404"/>
      <c r="W231" s="404"/>
      <c r="X231" s="404"/>
      <c r="Y231" s="404"/>
      <c r="Z231" s="432"/>
      <c r="AA231" s="404"/>
      <c r="AB231" s="404"/>
      <c r="AC231" s="404"/>
    </row>
    <row r="232" spans="1:29" ht="12.75" customHeight="1" x14ac:dyDescent="0.25">
      <c r="A232" s="395"/>
      <c r="B232" s="395"/>
      <c r="C232" s="417"/>
      <c r="D232" s="412"/>
      <c r="E232" s="395"/>
      <c r="F232" s="412"/>
      <c r="G232" s="412"/>
      <c r="H232" s="412"/>
      <c r="I232" s="412"/>
      <c r="J232" s="412"/>
      <c r="K232" s="404"/>
      <c r="L232" s="404"/>
      <c r="M232" s="404"/>
      <c r="N232" s="404"/>
      <c r="O232" s="404"/>
      <c r="P232" s="404"/>
      <c r="Q232" s="404"/>
      <c r="R232" s="404"/>
      <c r="S232" s="395"/>
      <c r="T232" s="395"/>
      <c r="U232" s="395"/>
      <c r="V232" s="404"/>
      <c r="W232" s="404"/>
      <c r="X232" s="404"/>
      <c r="Y232" s="404"/>
      <c r="Z232" s="432"/>
      <c r="AA232" s="404"/>
      <c r="AB232" s="404"/>
      <c r="AC232" s="404"/>
    </row>
    <row r="233" spans="1:29" ht="12.75" customHeight="1" x14ac:dyDescent="0.25">
      <c r="A233" s="395"/>
      <c r="B233" s="395"/>
      <c r="C233" s="417"/>
      <c r="D233" s="412"/>
      <c r="E233" s="395"/>
      <c r="F233" s="412"/>
      <c r="G233" s="412"/>
      <c r="H233" s="412"/>
      <c r="I233" s="412"/>
      <c r="J233" s="412"/>
      <c r="K233" s="404"/>
      <c r="L233" s="404"/>
      <c r="M233" s="404"/>
      <c r="N233" s="404"/>
      <c r="O233" s="404"/>
      <c r="P233" s="404"/>
      <c r="Q233" s="404"/>
      <c r="R233" s="404"/>
      <c r="S233" s="395"/>
      <c r="T233" s="395"/>
      <c r="U233" s="395"/>
      <c r="V233" s="404"/>
      <c r="W233" s="404"/>
      <c r="X233" s="404"/>
      <c r="Y233" s="404"/>
      <c r="Z233" s="432"/>
      <c r="AA233" s="404"/>
      <c r="AB233" s="404"/>
      <c r="AC233" s="404"/>
    </row>
    <row r="234" spans="1:29" ht="12.75" customHeight="1" x14ac:dyDescent="0.25">
      <c r="A234" s="395"/>
      <c r="B234" s="395"/>
      <c r="C234" s="417"/>
      <c r="D234" s="412"/>
      <c r="E234" s="395"/>
      <c r="F234" s="412"/>
      <c r="G234" s="412"/>
      <c r="H234" s="412"/>
      <c r="I234" s="412"/>
      <c r="J234" s="412"/>
      <c r="K234" s="404"/>
      <c r="L234" s="404"/>
      <c r="M234" s="404"/>
      <c r="N234" s="404"/>
      <c r="O234" s="404"/>
      <c r="P234" s="404"/>
      <c r="Q234" s="404"/>
      <c r="R234" s="404"/>
      <c r="S234" s="395"/>
      <c r="T234" s="395"/>
      <c r="U234" s="395"/>
      <c r="V234" s="404"/>
      <c r="W234" s="404"/>
      <c r="X234" s="404"/>
      <c r="Y234" s="404"/>
      <c r="Z234" s="432"/>
      <c r="AA234" s="404"/>
      <c r="AB234" s="404"/>
      <c r="AC234" s="404"/>
    </row>
    <row r="235" spans="1:29" ht="12.75" customHeight="1" x14ac:dyDescent="0.25">
      <c r="A235" s="395"/>
      <c r="B235" s="395"/>
      <c r="C235" s="417"/>
      <c r="D235" s="412"/>
      <c r="E235" s="395"/>
      <c r="F235" s="412"/>
      <c r="G235" s="412"/>
      <c r="H235" s="412"/>
      <c r="I235" s="412"/>
      <c r="J235" s="412"/>
      <c r="K235" s="404"/>
      <c r="L235" s="404"/>
      <c r="M235" s="404"/>
      <c r="N235" s="404"/>
      <c r="O235" s="404"/>
      <c r="P235" s="404"/>
      <c r="Q235" s="404"/>
      <c r="R235" s="404"/>
      <c r="S235" s="395"/>
      <c r="T235" s="395"/>
      <c r="U235" s="395"/>
      <c r="V235" s="404"/>
      <c r="W235" s="404"/>
      <c r="X235" s="404"/>
      <c r="Y235" s="404"/>
      <c r="Z235" s="432"/>
      <c r="AA235" s="404"/>
      <c r="AB235" s="404"/>
      <c r="AC235" s="404"/>
    </row>
    <row r="236" spans="1:29" ht="12.75" customHeight="1" x14ac:dyDescent="0.25">
      <c r="A236" s="395"/>
      <c r="B236" s="395"/>
      <c r="C236" s="417"/>
      <c r="D236" s="412"/>
      <c r="E236" s="395"/>
      <c r="F236" s="412"/>
      <c r="G236" s="412"/>
      <c r="H236" s="412"/>
      <c r="I236" s="412"/>
      <c r="J236" s="412"/>
      <c r="K236" s="404"/>
      <c r="L236" s="404"/>
      <c r="M236" s="404"/>
      <c r="N236" s="404"/>
      <c r="O236" s="404"/>
      <c r="P236" s="404"/>
      <c r="Q236" s="404"/>
      <c r="R236" s="404"/>
      <c r="S236" s="395"/>
      <c r="T236" s="395"/>
      <c r="U236" s="395"/>
      <c r="V236" s="404"/>
      <c r="W236" s="404"/>
      <c r="X236" s="404"/>
      <c r="Y236" s="404"/>
      <c r="Z236" s="432"/>
      <c r="AA236" s="404"/>
      <c r="AB236" s="404"/>
      <c r="AC236" s="404"/>
    </row>
    <row r="237" spans="1:29" ht="12.75" customHeight="1" x14ac:dyDescent="0.25">
      <c r="A237" s="395"/>
      <c r="B237" s="395"/>
      <c r="C237" s="417"/>
      <c r="D237" s="412"/>
      <c r="E237" s="395"/>
      <c r="F237" s="412"/>
      <c r="G237" s="412"/>
      <c r="H237" s="412"/>
      <c r="I237" s="412"/>
      <c r="J237" s="412"/>
      <c r="K237" s="404"/>
      <c r="L237" s="404"/>
      <c r="M237" s="404"/>
      <c r="N237" s="404"/>
      <c r="O237" s="404"/>
      <c r="P237" s="404"/>
      <c r="Q237" s="404"/>
      <c r="R237" s="404"/>
      <c r="S237" s="395"/>
      <c r="T237" s="395"/>
      <c r="U237" s="395"/>
      <c r="V237" s="404"/>
      <c r="W237" s="404"/>
      <c r="X237" s="404"/>
      <c r="Y237" s="404"/>
      <c r="Z237" s="432"/>
      <c r="AA237" s="404"/>
      <c r="AB237" s="404"/>
      <c r="AC237" s="404"/>
    </row>
    <row r="238" spans="1:29" ht="12.75" customHeight="1" x14ac:dyDescent="0.25">
      <c r="A238" s="395"/>
      <c r="B238" s="395"/>
      <c r="C238" s="417"/>
      <c r="D238" s="412"/>
      <c r="E238" s="395"/>
      <c r="F238" s="412"/>
      <c r="G238" s="412"/>
      <c r="H238" s="412"/>
      <c r="I238" s="412"/>
      <c r="J238" s="412"/>
      <c r="K238" s="404"/>
      <c r="L238" s="404"/>
      <c r="M238" s="404"/>
      <c r="N238" s="404"/>
      <c r="O238" s="404"/>
      <c r="P238" s="404"/>
      <c r="Q238" s="404"/>
      <c r="R238" s="404"/>
      <c r="S238" s="395"/>
      <c r="T238" s="395"/>
      <c r="U238" s="395"/>
      <c r="V238" s="404"/>
      <c r="W238" s="404"/>
      <c r="X238" s="404"/>
      <c r="Y238" s="404"/>
      <c r="Z238" s="432"/>
      <c r="AA238" s="404"/>
      <c r="AB238" s="404"/>
      <c r="AC238" s="404"/>
    </row>
    <row r="239" spans="1:29" ht="12.75" customHeight="1" x14ac:dyDescent="0.25">
      <c r="A239" s="395"/>
      <c r="B239" s="395"/>
      <c r="C239" s="417"/>
      <c r="D239" s="412"/>
      <c r="E239" s="395"/>
      <c r="F239" s="412"/>
      <c r="G239" s="412"/>
      <c r="H239" s="412"/>
      <c r="I239" s="412"/>
      <c r="J239" s="412"/>
      <c r="K239" s="404"/>
      <c r="L239" s="404"/>
      <c r="M239" s="404"/>
      <c r="N239" s="404"/>
      <c r="O239" s="404"/>
      <c r="P239" s="404"/>
      <c r="Q239" s="404"/>
      <c r="R239" s="404"/>
      <c r="S239" s="395"/>
      <c r="T239" s="395"/>
      <c r="U239" s="395"/>
      <c r="V239" s="404"/>
      <c r="W239" s="404"/>
      <c r="X239" s="404"/>
      <c r="Y239" s="404"/>
      <c r="Z239" s="432"/>
      <c r="AA239" s="404"/>
      <c r="AB239" s="404"/>
      <c r="AC239" s="404"/>
    </row>
    <row r="240" spans="1:29" ht="12.75" customHeight="1" x14ac:dyDescent="0.25">
      <c r="A240" s="395"/>
      <c r="B240" s="395"/>
      <c r="C240" s="417"/>
      <c r="D240" s="412"/>
      <c r="E240" s="395"/>
      <c r="F240" s="412"/>
      <c r="G240" s="412"/>
      <c r="H240" s="412"/>
      <c r="I240" s="412"/>
      <c r="J240" s="412"/>
      <c r="K240" s="404"/>
      <c r="L240" s="404"/>
      <c r="M240" s="404"/>
      <c r="N240" s="404"/>
      <c r="O240" s="404"/>
      <c r="P240" s="404"/>
      <c r="Q240" s="404"/>
      <c r="R240" s="404"/>
      <c r="S240" s="395"/>
      <c r="T240" s="395"/>
      <c r="U240" s="395"/>
      <c r="V240" s="404"/>
      <c r="W240" s="404"/>
      <c r="X240" s="404"/>
      <c r="Y240" s="404"/>
      <c r="Z240" s="432"/>
      <c r="AA240" s="404"/>
      <c r="AB240" s="404"/>
      <c r="AC240" s="404"/>
    </row>
    <row r="241" spans="1:29" ht="12.75" customHeight="1" x14ac:dyDescent="0.25">
      <c r="A241" s="395"/>
      <c r="B241" s="395"/>
      <c r="C241" s="417"/>
      <c r="D241" s="412"/>
      <c r="E241" s="395"/>
      <c r="F241" s="412"/>
      <c r="G241" s="412"/>
      <c r="H241" s="412"/>
      <c r="I241" s="412"/>
      <c r="J241" s="412"/>
      <c r="K241" s="404"/>
      <c r="L241" s="404"/>
      <c r="M241" s="404"/>
      <c r="N241" s="404"/>
      <c r="O241" s="404"/>
      <c r="P241" s="404"/>
      <c r="Q241" s="404"/>
      <c r="R241" s="404"/>
      <c r="S241" s="395"/>
      <c r="T241" s="395"/>
      <c r="U241" s="395"/>
      <c r="V241" s="404"/>
      <c r="W241" s="404"/>
      <c r="X241" s="404"/>
      <c r="Y241" s="404"/>
      <c r="Z241" s="432"/>
      <c r="AA241" s="404"/>
      <c r="AB241" s="404"/>
      <c r="AC241" s="404"/>
    </row>
    <row r="242" spans="1:29" ht="12.75" customHeight="1" x14ac:dyDescent="0.25">
      <c r="A242" s="395"/>
      <c r="B242" s="395"/>
      <c r="C242" s="417"/>
      <c r="D242" s="412"/>
      <c r="E242" s="395"/>
      <c r="F242" s="412"/>
      <c r="G242" s="412"/>
      <c r="H242" s="412"/>
      <c r="I242" s="412"/>
      <c r="J242" s="412"/>
      <c r="K242" s="404"/>
      <c r="L242" s="404"/>
      <c r="M242" s="404"/>
      <c r="N242" s="404"/>
      <c r="O242" s="404"/>
      <c r="P242" s="404"/>
      <c r="Q242" s="404"/>
      <c r="R242" s="404"/>
      <c r="S242" s="395"/>
      <c r="T242" s="395"/>
      <c r="U242" s="395"/>
      <c r="V242" s="404"/>
      <c r="W242" s="404"/>
      <c r="X242" s="404"/>
      <c r="Y242" s="404"/>
      <c r="Z242" s="432"/>
      <c r="AA242" s="404"/>
      <c r="AB242" s="404"/>
      <c r="AC242" s="404"/>
    </row>
    <row r="243" spans="1:29" ht="12.75" customHeight="1" x14ac:dyDescent="0.25">
      <c r="A243" s="395"/>
      <c r="B243" s="395"/>
      <c r="C243" s="417"/>
      <c r="D243" s="412"/>
      <c r="E243" s="395"/>
      <c r="F243" s="412"/>
      <c r="G243" s="412"/>
      <c r="H243" s="412"/>
      <c r="I243" s="412"/>
      <c r="J243" s="412"/>
      <c r="K243" s="404"/>
      <c r="L243" s="404"/>
      <c r="M243" s="404"/>
      <c r="N243" s="404"/>
      <c r="O243" s="404"/>
      <c r="P243" s="404"/>
      <c r="Q243" s="404"/>
      <c r="R243" s="404"/>
      <c r="S243" s="395"/>
      <c r="T243" s="395"/>
      <c r="U243" s="395"/>
      <c r="V243" s="404"/>
      <c r="W243" s="404"/>
      <c r="X243" s="404"/>
      <c r="Y243" s="404"/>
      <c r="Z243" s="432"/>
      <c r="AA243" s="404"/>
      <c r="AB243" s="404"/>
      <c r="AC243" s="404"/>
    </row>
    <row r="244" spans="1:29" ht="12.75" customHeight="1" x14ac:dyDescent="0.25">
      <c r="A244" s="395"/>
      <c r="B244" s="395"/>
      <c r="C244" s="417"/>
      <c r="D244" s="412"/>
      <c r="E244" s="395"/>
      <c r="F244" s="412"/>
      <c r="G244" s="412"/>
      <c r="H244" s="412"/>
      <c r="I244" s="412"/>
      <c r="J244" s="412"/>
      <c r="K244" s="404"/>
      <c r="L244" s="404"/>
      <c r="M244" s="404"/>
      <c r="N244" s="404"/>
      <c r="O244" s="404"/>
      <c r="P244" s="404"/>
      <c r="Q244" s="404"/>
      <c r="R244" s="404"/>
      <c r="S244" s="395"/>
      <c r="T244" s="395"/>
      <c r="U244" s="395"/>
      <c r="V244" s="404"/>
      <c r="W244" s="404"/>
      <c r="X244" s="404"/>
      <c r="Y244" s="404"/>
      <c r="Z244" s="432"/>
      <c r="AA244" s="404"/>
      <c r="AB244" s="404"/>
      <c r="AC244" s="404"/>
    </row>
    <row r="245" spans="1:29" ht="12.75" customHeight="1" x14ac:dyDescent="0.25">
      <c r="A245" s="395"/>
      <c r="B245" s="395"/>
      <c r="C245" s="417"/>
      <c r="D245" s="412"/>
      <c r="E245" s="395"/>
      <c r="F245" s="412"/>
      <c r="G245" s="412"/>
      <c r="H245" s="412"/>
      <c r="I245" s="412"/>
      <c r="J245" s="412"/>
      <c r="K245" s="404"/>
      <c r="L245" s="404"/>
      <c r="M245" s="404"/>
      <c r="N245" s="404"/>
      <c r="O245" s="404"/>
      <c r="P245" s="404"/>
      <c r="Q245" s="404"/>
      <c r="R245" s="404"/>
      <c r="S245" s="395"/>
      <c r="T245" s="395"/>
      <c r="U245" s="395"/>
      <c r="V245" s="404"/>
      <c r="W245" s="404"/>
      <c r="X245" s="404"/>
      <c r="Y245" s="404"/>
      <c r="Z245" s="432"/>
      <c r="AA245" s="404"/>
      <c r="AB245" s="404"/>
      <c r="AC245" s="404"/>
    </row>
    <row r="246" spans="1:29" ht="12.75" customHeight="1" x14ac:dyDescent="0.25">
      <c r="A246" s="395"/>
      <c r="B246" s="395"/>
      <c r="C246" s="417"/>
      <c r="D246" s="412"/>
      <c r="E246" s="395"/>
      <c r="F246" s="412"/>
      <c r="G246" s="412"/>
      <c r="H246" s="412"/>
      <c r="I246" s="412"/>
      <c r="J246" s="412"/>
      <c r="K246" s="404"/>
      <c r="L246" s="404"/>
      <c r="M246" s="404"/>
      <c r="N246" s="404"/>
      <c r="O246" s="404"/>
      <c r="P246" s="404"/>
      <c r="Q246" s="404"/>
      <c r="R246" s="404"/>
      <c r="S246" s="395"/>
      <c r="T246" s="395"/>
      <c r="U246" s="395"/>
      <c r="V246" s="404"/>
      <c r="W246" s="404"/>
      <c r="X246" s="404"/>
      <c r="Y246" s="404"/>
      <c r="Z246" s="432"/>
      <c r="AA246" s="404"/>
      <c r="AB246" s="404"/>
      <c r="AC246" s="404"/>
    </row>
    <row r="247" spans="1:29" ht="12.75" customHeight="1" x14ac:dyDescent="0.25">
      <c r="A247" s="395"/>
      <c r="B247" s="395"/>
      <c r="C247" s="417"/>
      <c r="D247" s="412"/>
      <c r="E247" s="395"/>
      <c r="F247" s="412"/>
      <c r="G247" s="412"/>
      <c r="H247" s="412"/>
      <c r="I247" s="412"/>
      <c r="J247" s="412"/>
      <c r="K247" s="404"/>
      <c r="L247" s="404"/>
      <c r="M247" s="404"/>
      <c r="N247" s="404"/>
      <c r="O247" s="404"/>
      <c r="P247" s="404"/>
      <c r="Q247" s="404"/>
      <c r="R247" s="404"/>
      <c r="S247" s="395"/>
      <c r="T247" s="395"/>
      <c r="U247" s="395"/>
      <c r="V247" s="404"/>
      <c r="W247" s="404"/>
      <c r="X247" s="404"/>
      <c r="Y247" s="404"/>
      <c r="Z247" s="432"/>
      <c r="AA247" s="404"/>
      <c r="AB247" s="404"/>
      <c r="AC247" s="404"/>
    </row>
    <row r="248" spans="1:29" ht="12.75" customHeight="1" x14ac:dyDescent="0.25">
      <c r="A248" s="395"/>
      <c r="B248" s="395"/>
      <c r="C248" s="417"/>
      <c r="D248" s="412"/>
      <c r="E248" s="395"/>
      <c r="F248" s="412"/>
      <c r="G248" s="412"/>
      <c r="H248" s="412"/>
      <c r="I248" s="412"/>
      <c r="J248" s="412"/>
      <c r="K248" s="404"/>
      <c r="L248" s="404"/>
      <c r="M248" s="404"/>
      <c r="N248" s="404"/>
      <c r="O248" s="404"/>
      <c r="P248" s="404"/>
      <c r="Q248" s="404"/>
      <c r="R248" s="404"/>
      <c r="S248" s="395"/>
      <c r="T248" s="395"/>
      <c r="U248" s="395"/>
      <c r="V248" s="404"/>
      <c r="W248" s="404"/>
      <c r="X248" s="404"/>
      <c r="Y248" s="404"/>
      <c r="Z248" s="432"/>
      <c r="AA248" s="404"/>
      <c r="AB248" s="404"/>
      <c r="AC248" s="404"/>
    </row>
    <row r="249" spans="1:29" ht="12.75" customHeight="1" x14ac:dyDescent="0.25">
      <c r="A249" s="395"/>
      <c r="B249" s="395"/>
      <c r="C249" s="417"/>
      <c r="D249" s="412"/>
      <c r="E249" s="395"/>
      <c r="F249" s="412"/>
      <c r="G249" s="412"/>
      <c r="H249" s="412"/>
      <c r="I249" s="412"/>
      <c r="J249" s="412"/>
      <c r="K249" s="404"/>
      <c r="L249" s="404"/>
      <c r="M249" s="404"/>
      <c r="N249" s="404"/>
      <c r="O249" s="404"/>
      <c r="P249" s="404"/>
      <c r="Q249" s="404"/>
      <c r="R249" s="404"/>
      <c r="S249" s="395"/>
      <c r="T249" s="395"/>
      <c r="U249" s="395"/>
      <c r="V249" s="404"/>
      <c r="W249" s="404"/>
      <c r="X249" s="404"/>
      <c r="Y249" s="404"/>
      <c r="Z249" s="432"/>
      <c r="AA249" s="404"/>
      <c r="AB249" s="404"/>
      <c r="AC249" s="404"/>
    </row>
    <row r="250" spans="1:29" ht="12.75" customHeight="1" x14ac:dyDescent="0.25">
      <c r="A250" s="395"/>
      <c r="B250" s="395"/>
      <c r="C250" s="417"/>
      <c r="D250" s="412"/>
      <c r="E250" s="395"/>
      <c r="F250" s="412"/>
      <c r="G250" s="412"/>
      <c r="H250" s="412"/>
      <c r="I250" s="412"/>
      <c r="J250" s="412"/>
      <c r="K250" s="404"/>
      <c r="L250" s="404"/>
      <c r="M250" s="404"/>
      <c r="N250" s="404"/>
      <c r="O250" s="404"/>
      <c r="P250" s="404"/>
      <c r="Q250" s="404"/>
      <c r="R250" s="404"/>
      <c r="S250" s="395"/>
      <c r="T250" s="395"/>
      <c r="U250" s="395"/>
      <c r="V250" s="404"/>
      <c r="W250" s="404"/>
      <c r="X250" s="404"/>
      <c r="Y250" s="404"/>
      <c r="Z250" s="432"/>
      <c r="AA250" s="404"/>
      <c r="AB250" s="404"/>
      <c r="AC250" s="404"/>
    </row>
    <row r="251" spans="1:29" ht="12.75" customHeight="1" x14ac:dyDescent="0.25">
      <c r="A251" s="395"/>
      <c r="B251" s="395"/>
      <c r="C251" s="417"/>
      <c r="D251" s="412"/>
      <c r="E251" s="395"/>
      <c r="F251" s="412"/>
      <c r="G251" s="412"/>
      <c r="H251" s="412"/>
      <c r="I251" s="412"/>
      <c r="J251" s="412"/>
      <c r="K251" s="404"/>
      <c r="L251" s="404"/>
      <c r="M251" s="404"/>
      <c r="N251" s="404"/>
      <c r="O251" s="404"/>
      <c r="P251" s="404"/>
      <c r="Q251" s="404"/>
      <c r="R251" s="404"/>
      <c r="S251" s="395"/>
      <c r="T251" s="395"/>
      <c r="U251" s="395"/>
      <c r="V251" s="404"/>
      <c r="W251" s="404"/>
      <c r="X251" s="404"/>
      <c r="Y251" s="404"/>
      <c r="Z251" s="432"/>
      <c r="AA251" s="404"/>
      <c r="AB251" s="404"/>
      <c r="AC251" s="404"/>
    </row>
    <row r="252" spans="1:29" ht="12.75" customHeight="1" x14ac:dyDescent="0.25">
      <c r="A252" s="395"/>
      <c r="B252" s="395"/>
      <c r="C252" s="417"/>
      <c r="D252" s="412"/>
      <c r="E252" s="395"/>
      <c r="F252" s="412"/>
      <c r="G252" s="412"/>
      <c r="H252" s="412"/>
      <c r="I252" s="412"/>
      <c r="J252" s="412"/>
      <c r="K252" s="404"/>
      <c r="L252" s="404"/>
      <c r="M252" s="404"/>
      <c r="N252" s="404"/>
      <c r="O252" s="404"/>
      <c r="P252" s="404"/>
      <c r="Q252" s="404"/>
      <c r="R252" s="404"/>
      <c r="S252" s="395"/>
      <c r="T252" s="395"/>
      <c r="U252" s="395"/>
      <c r="V252" s="404"/>
      <c r="W252" s="404"/>
      <c r="X252" s="404"/>
      <c r="Y252" s="404"/>
      <c r="Z252" s="432"/>
      <c r="AA252" s="404"/>
      <c r="AB252" s="404"/>
      <c r="AC252" s="404"/>
    </row>
    <row r="253" spans="1:29" ht="12.75" customHeight="1" x14ac:dyDescent="0.25">
      <c r="A253" s="395"/>
      <c r="B253" s="395"/>
      <c r="C253" s="417"/>
      <c r="D253" s="412"/>
      <c r="E253" s="395"/>
      <c r="F253" s="412"/>
      <c r="G253" s="412"/>
      <c r="H253" s="412"/>
      <c r="I253" s="412"/>
      <c r="J253" s="412"/>
      <c r="K253" s="404"/>
      <c r="L253" s="404"/>
      <c r="M253" s="404"/>
      <c r="N253" s="404"/>
      <c r="O253" s="404"/>
      <c r="P253" s="404"/>
      <c r="Q253" s="404"/>
      <c r="R253" s="404"/>
      <c r="S253" s="395"/>
      <c r="T253" s="395"/>
      <c r="U253" s="395"/>
      <c r="V253" s="404"/>
      <c r="W253" s="404"/>
      <c r="X253" s="404"/>
      <c r="Y253" s="404"/>
      <c r="Z253" s="432"/>
      <c r="AA253" s="404"/>
      <c r="AB253" s="404"/>
      <c r="AC253" s="404"/>
    </row>
    <row r="254" spans="1:29" ht="12.75" customHeight="1" x14ac:dyDescent="0.25">
      <c r="A254" s="395"/>
      <c r="B254" s="395"/>
      <c r="C254" s="417"/>
      <c r="D254" s="412"/>
      <c r="E254" s="395"/>
      <c r="F254" s="412"/>
      <c r="G254" s="412"/>
      <c r="H254" s="412"/>
      <c r="I254" s="412"/>
      <c r="J254" s="412"/>
      <c r="K254" s="404"/>
      <c r="L254" s="404"/>
      <c r="M254" s="404"/>
      <c r="N254" s="404"/>
      <c r="O254" s="404"/>
      <c r="P254" s="404"/>
      <c r="Q254" s="404"/>
      <c r="R254" s="404"/>
      <c r="S254" s="395"/>
      <c r="T254" s="395"/>
      <c r="U254" s="395"/>
      <c r="V254" s="404"/>
      <c r="W254" s="404"/>
      <c r="X254" s="404"/>
      <c r="Y254" s="404"/>
      <c r="Z254" s="432"/>
      <c r="AA254" s="404"/>
      <c r="AB254" s="404"/>
      <c r="AC254" s="404"/>
    </row>
    <row r="255" spans="1:29" ht="12.75" customHeight="1" x14ac:dyDescent="0.25">
      <c r="A255" s="395"/>
      <c r="B255" s="395"/>
      <c r="C255" s="417"/>
      <c r="D255" s="412"/>
      <c r="E255" s="395"/>
      <c r="F255" s="412"/>
      <c r="G255" s="412"/>
      <c r="H255" s="412"/>
      <c r="I255" s="412"/>
      <c r="J255" s="412"/>
      <c r="K255" s="404"/>
      <c r="L255" s="404"/>
      <c r="M255" s="404"/>
      <c r="N255" s="404"/>
      <c r="O255" s="404"/>
      <c r="P255" s="404"/>
      <c r="Q255" s="404"/>
      <c r="R255" s="404"/>
      <c r="S255" s="395"/>
      <c r="T255" s="395"/>
      <c r="U255" s="395"/>
      <c r="V255" s="404"/>
      <c r="W255" s="404"/>
      <c r="X255" s="404"/>
      <c r="Y255" s="404"/>
      <c r="Z255" s="432"/>
      <c r="AA255" s="404"/>
      <c r="AB255" s="404"/>
      <c r="AC255" s="404"/>
    </row>
    <row r="256" spans="1:29" ht="12.75" customHeight="1" x14ac:dyDescent="0.25">
      <c r="A256" s="395"/>
      <c r="B256" s="395"/>
      <c r="C256" s="417"/>
      <c r="D256" s="412"/>
      <c r="E256" s="395"/>
      <c r="F256" s="412"/>
      <c r="G256" s="412"/>
      <c r="H256" s="412"/>
      <c r="I256" s="412"/>
      <c r="J256" s="412"/>
      <c r="K256" s="404"/>
      <c r="L256" s="404"/>
      <c r="M256" s="404"/>
      <c r="N256" s="404"/>
      <c r="O256" s="404"/>
      <c r="P256" s="404"/>
      <c r="Q256" s="404"/>
      <c r="R256" s="404"/>
      <c r="S256" s="395"/>
      <c r="T256" s="395"/>
      <c r="U256" s="395"/>
      <c r="V256" s="404"/>
      <c r="W256" s="404"/>
      <c r="X256" s="404"/>
      <c r="Y256" s="404"/>
      <c r="Z256" s="432"/>
      <c r="AA256" s="404"/>
      <c r="AB256" s="404"/>
      <c r="AC256" s="404"/>
    </row>
    <row r="257" spans="1:29" ht="12.75" customHeight="1" x14ac:dyDescent="0.25">
      <c r="A257" s="395"/>
      <c r="B257" s="395"/>
      <c r="C257" s="417"/>
      <c r="D257" s="412"/>
      <c r="E257" s="395"/>
      <c r="F257" s="412"/>
      <c r="G257" s="412"/>
      <c r="H257" s="412"/>
      <c r="I257" s="412"/>
      <c r="J257" s="412"/>
      <c r="K257" s="404"/>
      <c r="L257" s="404"/>
      <c r="M257" s="404"/>
      <c r="N257" s="404"/>
      <c r="O257" s="404"/>
      <c r="P257" s="404"/>
      <c r="Q257" s="404"/>
      <c r="R257" s="404"/>
      <c r="S257" s="395"/>
      <c r="T257" s="395"/>
      <c r="U257" s="395"/>
      <c r="V257" s="404"/>
      <c r="W257" s="404"/>
      <c r="X257" s="404"/>
      <c r="Y257" s="404"/>
      <c r="Z257" s="432"/>
      <c r="AA257" s="404"/>
      <c r="AB257" s="404"/>
      <c r="AC257" s="404"/>
    </row>
    <row r="258" spans="1:29" ht="12.75" customHeight="1" x14ac:dyDescent="0.25">
      <c r="A258" s="395"/>
      <c r="B258" s="395"/>
      <c r="C258" s="417"/>
      <c r="D258" s="412"/>
      <c r="E258" s="395"/>
      <c r="F258" s="412"/>
      <c r="G258" s="412"/>
      <c r="H258" s="412"/>
      <c r="I258" s="412"/>
      <c r="J258" s="412"/>
      <c r="K258" s="404"/>
      <c r="L258" s="404"/>
      <c r="M258" s="404"/>
      <c r="N258" s="404"/>
      <c r="O258" s="404"/>
      <c r="P258" s="404"/>
      <c r="Q258" s="404"/>
      <c r="R258" s="404"/>
      <c r="S258" s="395"/>
      <c r="T258" s="395"/>
      <c r="U258" s="395"/>
      <c r="V258" s="404"/>
      <c r="W258" s="404"/>
      <c r="X258" s="404"/>
      <c r="Y258" s="404"/>
      <c r="Z258" s="432"/>
      <c r="AA258" s="404"/>
      <c r="AB258" s="404"/>
      <c r="AC258" s="404"/>
    </row>
    <row r="259" spans="1:29" ht="12.75" customHeight="1" x14ac:dyDescent="0.25">
      <c r="A259" s="395"/>
      <c r="B259" s="395"/>
      <c r="C259" s="417"/>
      <c r="D259" s="412"/>
      <c r="E259" s="395"/>
      <c r="F259" s="412"/>
      <c r="G259" s="412"/>
      <c r="H259" s="412"/>
      <c r="I259" s="412"/>
      <c r="J259" s="412"/>
      <c r="K259" s="404"/>
      <c r="L259" s="404"/>
      <c r="M259" s="404"/>
      <c r="N259" s="404"/>
      <c r="O259" s="404"/>
      <c r="P259" s="404"/>
      <c r="Q259" s="404"/>
      <c r="R259" s="404"/>
      <c r="S259" s="395"/>
      <c r="T259" s="395"/>
      <c r="U259" s="395"/>
      <c r="V259" s="404"/>
      <c r="W259" s="404"/>
      <c r="X259" s="404"/>
      <c r="Y259" s="404"/>
      <c r="Z259" s="432"/>
      <c r="AA259" s="404"/>
      <c r="AB259" s="404"/>
      <c r="AC259" s="404"/>
    </row>
    <row r="260" spans="1:29" ht="12.75" customHeight="1" x14ac:dyDescent="0.25">
      <c r="A260" s="395"/>
      <c r="B260" s="395"/>
      <c r="C260" s="417"/>
      <c r="D260" s="412"/>
      <c r="E260" s="395"/>
      <c r="F260" s="412"/>
      <c r="G260" s="412"/>
      <c r="H260" s="412"/>
      <c r="I260" s="412"/>
      <c r="J260" s="412"/>
      <c r="K260" s="404"/>
      <c r="L260" s="404"/>
      <c r="M260" s="404"/>
      <c r="N260" s="404"/>
      <c r="O260" s="404"/>
      <c r="P260" s="404"/>
      <c r="Q260" s="404"/>
      <c r="R260" s="404"/>
      <c r="S260" s="395"/>
      <c r="T260" s="395"/>
      <c r="U260" s="395"/>
      <c r="V260" s="404"/>
      <c r="W260" s="404"/>
      <c r="X260" s="404"/>
      <c r="Y260" s="404"/>
      <c r="Z260" s="432"/>
      <c r="AA260" s="404"/>
      <c r="AB260" s="404"/>
      <c r="AC260" s="404"/>
    </row>
    <row r="261" spans="1:29" ht="12.75" customHeight="1" x14ac:dyDescent="0.25">
      <c r="A261" s="395"/>
      <c r="B261" s="395"/>
      <c r="C261" s="417"/>
      <c r="D261" s="412"/>
      <c r="E261" s="395"/>
      <c r="F261" s="412"/>
      <c r="G261" s="412"/>
      <c r="H261" s="412"/>
      <c r="I261" s="412"/>
      <c r="J261" s="412"/>
      <c r="K261" s="404"/>
      <c r="L261" s="404"/>
      <c r="M261" s="404"/>
      <c r="N261" s="404"/>
      <c r="O261" s="404"/>
      <c r="P261" s="404"/>
      <c r="Q261" s="404"/>
      <c r="R261" s="404"/>
      <c r="S261" s="395"/>
      <c r="T261" s="395"/>
      <c r="U261" s="395"/>
      <c r="V261" s="404"/>
      <c r="W261" s="404"/>
      <c r="X261" s="404"/>
      <c r="Y261" s="404"/>
      <c r="Z261" s="432"/>
      <c r="AA261" s="404"/>
      <c r="AB261" s="404"/>
      <c r="AC261" s="404"/>
    </row>
    <row r="262" spans="1:29" ht="12.75" customHeight="1" x14ac:dyDescent="0.25">
      <c r="A262" s="395"/>
      <c r="B262" s="395"/>
      <c r="C262" s="417"/>
      <c r="D262" s="412"/>
      <c r="E262" s="395"/>
      <c r="F262" s="412"/>
      <c r="G262" s="412"/>
      <c r="H262" s="412"/>
      <c r="I262" s="412"/>
      <c r="J262" s="412"/>
      <c r="K262" s="404"/>
      <c r="L262" s="404"/>
      <c r="M262" s="404"/>
      <c r="N262" s="404"/>
      <c r="O262" s="404"/>
      <c r="P262" s="404"/>
      <c r="Q262" s="404"/>
      <c r="R262" s="404"/>
      <c r="S262" s="395"/>
      <c r="T262" s="395"/>
      <c r="U262" s="395"/>
      <c r="V262" s="404"/>
      <c r="W262" s="404"/>
      <c r="X262" s="404"/>
      <c r="Y262" s="404"/>
      <c r="Z262" s="432"/>
      <c r="AA262" s="404"/>
      <c r="AB262" s="404"/>
      <c r="AC262" s="404"/>
    </row>
    <row r="263" spans="1:29" ht="12.75" customHeight="1" x14ac:dyDescent="0.25">
      <c r="A263" s="395"/>
      <c r="B263" s="395"/>
      <c r="C263" s="417"/>
      <c r="D263" s="412"/>
      <c r="E263" s="395"/>
      <c r="F263" s="412"/>
      <c r="G263" s="412"/>
      <c r="H263" s="412"/>
      <c r="I263" s="412"/>
      <c r="J263" s="412"/>
      <c r="K263" s="404"/>
      <c r="L263" s="404"/>
      <c r="M263" s="404"/>
      <c r="N263" s="404"/>
      <c r="O263" s="404"/>
      <c r="P263" s="404"/>
      <c r="Q263" s="404"/>
      <c r="R263" s="404"/>
      <c r="S263" s="395"/>
      <c r="T263" s="395"/>
      <c r="U263" s="395"/>
      <c r="V263" s="404"/>
      <c r="W263" s="404"/>
      <c r="X263" s="404"/>
      <c r="Y263" s="404"/>
      <c r="Z263" s="432"/>
      <c r="AA263" s="404"/>
      <c r="AB263" s="404"/>
      <c r="AC263" s="404"/>
    </row>
    <row r="264" spans="1:29" ht="12.75" customHeight="1" x14ac:dyDescent="0.25">
      <c r="A264" s="395"/>
      <c r="B264" s="395"/>
      <c r="C264" s="417"/>
      <c r="D264" s="412"/>
      <c r="E264" s="395"/>
      <c r="F264" s="412"/>
      <c r="G264" s="412"/>
      <c r="H264" s="412"/>
      <c r="I264" s="412"/>
      <c r="J264" s="412"/>
      <c r="K264" s="404"/>
      <c r="L264" s="404"/>
      <c r="M264" s="404"/>
      <c r="N264" s="404"/>
      <c r="O264" s="404"/>
      <c r="P264" s="404"/>
      <c r="Q264" s="404"/>
      <c r="R264" s="404"/>
      <c r="S264" s="395"/>
      <c r="T264" s="395"/>
      <c r="U264" s="395"/>
      <c r="V264" s="404"/>
      <c r="W264" s="404"/>
      <c r="X264" s="404"/>
      <c r="Y264" s="404"/>
      <c r="Z264" s="432"/>
      <c r="AA264" s="404"/>
      <c r="AB264" s="404"/>
      <c r="AC264" s="404"/>
    </row>
    <row r="265" spans="1:29" ht="12.75" customHeight="1" x14ac:dyDescent="0.25">
      <c r="A265" s="395"/>
      <c r="B265" s="395"/>
      <c r="C265" s="417"/>
      <c r="D265" s="412"/>
      <c r="E265" s="395"/>
      <c r="F265" s="412"/>
      <c r="G265" s="412"/>
      <c r="H265" s="412"/>
      <c r="I265" s="412"/>
      <c r="J265" s="412"/>
      <c r="K265" s="404"/>
      <c r="L265" s="404"/>
      <c r="M265" s="404"/>
      <c r="N265" s="404"/>
      <c r="O265" s="404"/>
      <c r="P265" s="404"/>
      <c r="Q265" s="404"/>
      <c r="R265" s="404"/>
      <c r="S265" s="395"/>
      <c r="T265" s="395"/>
      <c r="U265" s="395"/>
      <c r="V265" s="404"/>
      <c r="W265" s="404"/>
      <c r="X265" s="404"/>
      <c r="Y265" s="404"/>
      <c r="Z265" s="432"/>
      <c r="AA265" s="404"/>
      <c r="AB265" s="404"/>
      <c r="AC265" s="404"/>
    </row>
    <row r="266" spans="1:29" ht="12.75" customHeight="1" x14ac:dyDescent="0.25">
      <c r="A266" s="395"/>
      <c r="B266" s="395"/>
      <c r="C266" s="417"/>
      <c r="D266" s="412"/>
      <c r="E266" s="395"/>
      <c r="F266" s="412"/>
      <c r="G266" s="412"/>
      <c r="H266" s="412"/>
      <c r="I266" s="412"/>
      <c r="J266" s="412"/>
      <c r="K266" s="404"/>
      <c r="L266" s="404"/>
      <c r="M266" s="404"/>
      <c r="N266" s="404"/>
      <c r="O266" s="404"/>
      <c r="P266" s="404"/>
      <c r="Q266" s="404"/>
      <c r="R266" s="404"/>
      <c r="S266" s="395"/>
      <c r="T266" s="395"/>
      <c r="U266" s="395"/>
      <c r="V266" s="404"/>
      <c r="W266" s="404"/>
      <c r="X266" s="404"/>
      <c r="Y266" s="404"/>
      <c r="Z266" s="432"/>
      <c r="AA266" s="404"/>
      <c r="AB266" s="404"/>
      <c r="AC266" s="404"/>
    </row>
    <row r="267" spans="1:29" ht="12.75" customHeight="1" x14ac:dyDescent="0.25">
      <c r="A267" s="395"/>
      <c r="B267" s="395"/>
      <c r="C267" s="417"/>
      <c r="D267" s="412"/>
      <c r="E267" s="395"/>
      <c r="F267" s="412"/>
      <c r="G267" s="412"/>
      <c r="H267" s="412"/>
      <c r="I267" s="412"/>
      <c r="J267" s="412"/>
      <c r="K267" s="404"/>
      <c r="L267" s="404"/>
      <c r="M267" s="404"/>
      <c r="N267" s="404"/>
      <c r="O267" s="404"/>
      <c r="P267" s="404"/>
      <c r="Q267" s="404"/>
      <c r="R267" s="404"/>
      <c r="S267" s="395"/>
      <c r="T267" s="395"/>
      <c r="U267" s="395"/>
      <c r="V267" s="404"/>
      <c r="W267" s="404"/>
      <c r="X267" s="404"/>
      <c r="Y267" s="404"/>
      <c r="Z267" s="432"/>
      <c r="AA267" s="404"/>
      <c r="AB267" s="404"/>
      <c r="AC267" s="404"/>
    </row>
    <row r="268" spans="1:29" ht="12.75" customHeight="1" x14ac:dyDescent="0.25">
      <c r="A268" s="395"/>
      <c r="B268" s="395"/>
      <c r="C268" s="417"/>
      <c r="D268" s="412"/>
      <c r="E268" s="395"/>
      <c r="F268" s="412"/>
      <c r="G268" s="412"/>
      <c r="H268" s="412"/>
      <c r="I268" s="412"/>
      <c r="J268" s="412"/>
      <c r="K268" s="404"/>
      <c r="L268" s="404"/>
      <c r="M268" s="404"/>
      <c r="N268" s="404"/>
      <c r="O268" s="404"/>
      <c r="P268" s="404"/>
      <c r="Q268" s="404"/>
      <c r="R268" s="404"/>
      <c r="S268" s="395"/>
      <c r="T268" s="395"/>
      <c r="U268" s="395"/>
      <c r="V268" s="404"/>
      <c r="W268" s="404"/>
      <c r="X268" s="404"/>
      <c r="Y268" s="404"/>
      <c r="Z268" s="432"/>
      <c r="AA268" s="404"/>
      <c r="AB268" s="404"/>
      <c r="AC268" s="404"/>
    </row>
    <row r="269" spans="1:29" ht="12.75" customHeight="1" x14ac:dyDescent="0.25">
      <c r="A269" s="395"/>
      <c r="B269" s="395"/>
      <c r="C269" s="417"/>
      <c r="D269" s="412"/>
      <c r="E269" s="395"/>
      <c r="F269" s="412"/>
      <c r="G269" s="412"/>
      <c r="H269" s="412"/>
      <c r="I269" s="412"/>
      <c r="J269" s="412"/>
      <c r="K269" s="404"/>
      <c r="L269" s="404"/>
      <c r="M269" s="404"/>
      <c r="N269" s="404"/>
      <c r="O269" s="404"/>
      <c r="P269" s="404"/>
      <c r="Q269" s="404"/>
      <c r="R269" s="404"/>
      <c r="S269" s="395"/>
      <c r="T269" s="395"/>
      <c r="U269" s="395"/>
      <c r="V269" s="404"/>
      <c r="W269" s="404"/>
      <c r="X269" s="404"/>
      <c r="Y269" s="404"/>
      <c r="Z269" s="432"/>
      <c r="AA269" s="404"/>
      <c r="AB269" s="404"/>
      <c r="AC269" s="404"/>
    </row>
    <row r="270" spans="1:29" ht="12.75" customHeight="1" x14ac:dyDescent="0.25">
      <c r="A270" s="395"/>
      <c r="B270" s="395"/>
      <c r="C270" s="417"/>
      <c r="D270" s="412"/>
      <c r="E270" s="395"/>
      <c r="F270" s="412"/>
      <c r="G270" s="412"/>
      <c r="H270" s="412"/>
      <c r="I270" s="412"/>
      <c r="J270" s="412"/>
      <c r="K270" s="404"/>
      <c r="L270" s="404"/>
      <c r="M270" s="404"/>
      <c r="N270" s="404"/>
      <c r="O270" s="404"/>
      <c r="P270" s="404"/>
      <c r="Q270" s="404"/>
      <c r="R270" s="404"/>
      <c r="S270" s="395"/>
      <c r="T270" s="395"/>
      <c r="U270" s="395"/>
      <c r="V270" s="404"/>
      <c r="W270" s="404"/>
      <c r="X270" s="404"/>
      <c r="Y270" s="404"/>
      <c r="Z270" s="432"/>
      <c r="AA270" s="404"/>
      <c r="AB270" s="404"/>
      <c r="AC270" s="404"/>
    </row>
    <row r="271" spans="1:29" ht="12.75" customHeight="1" x14ac:dyDescent="0.25">
      <c r="A271" s="395"/>
      <c r="B271" s="395"/>
      <c r="C271" s="417"/>
      <c r="D271" s="412"/>
      <c r="E271" s="395"/>
      <c r="F271" s="412"/>
      <c r="G271" s="412"/>
      <c r="H271" s="412"/>
      <c r="I271" s="412"/>
      <c r="J271" s="412"/>
      <c r="K271" s="404"/>
      <c r="L271" s="404"/>
      <c r="M271" s="404"/>
      <c r="N271" s="404"/>
      <c r="O271" s="404"/>
      <c r="P271" s="404"/>
      <c r="Q271" s="404"/>
      <c r="R271" s="404"/>
      <c r="S271" s="395"/>
      <c r="T271" s="395"/>
      <c r="U271" s="395"/>
      <c r="V271" s="404"/>
      <c r="W271" s="404"/>
      <c r="X271" s="404"/>
      <c r="Y271" s="404"/>
      <c r="Z271" s="432"/>
      <c r="AA271" s="404"/>
      <c r="AB271" s="404"/>
      <c r="AC271" s="404"/>
    </row>
    <row r="272" spans="1:29" ht="12.75" customHeight="1" x14ac:dyDescent="0.25">
      <c r="A272" s="395"/>
      <c r="B272" s="395"/>
      <c r="C272" s="417"/>
      <c r="D272" s="412"/>
      <c r="E272" s="395"/>
      <c r="F272" s="412"/>
      <c r="G272" s="412"/>
      <c r="H272" s="412"/>
      <c r="I272" s="412"/>
      <c r="J272" s="412"/>
      <c r="K272" s="404"/>
      <c r="L272" s="404"/>
      <c r="M272" s="404"/>
      <c r="N272" s="404"/>
      <c r="O272" s="404"/>
      <c r="P272" s="404"/>
      <c r="Q272" s="404"/>
      <c r="R272" s="404"/>
      <c r="S272" s="395"/>
      <c r="T272" s="395"/>
      <c r="U272" s="395"/>
      <c r="V272" s="404"/>
      <c r="W272" s="404"/>
      <c r="X272" s="404"/>
      <c r="Y272" s="404"/>
      <c r="Z272" s="432"/>
      <c r="AA272" s="404"/>
      <c r="AB272" s="404"/>
      <c r="AC272" s="404"/>
    </row>
    <row r="273" spans="1:29" ht="12.75" customHeight="1" x14ac:dyDescent="0.25">
      <c r="A273" s="395"/>
      <c r="B273" s="395"/>
      <c r="C273" s="417"/>
      <c r="D273" s="412"/>
      <c r="E273" s="395"/>
      <c r="F273" s="412"/>
      <c r="G273" s="412"/>
      <c r="H273" s="412"/>
      <c r="I273" s="412"/>
      <c r="J273" s="412"/>
      <c r="K273" s="404"/>
      <c r="L273" s="404"/>
      <c r="M273" s="404"/>
      <c r="N273" s="404"/>
      <c r="O273" s="404"/>
      <c r="P273" s="404"/>
      <c r="Q273" s="404"/>
      <c r="R273" s="404"/>
      <c r="S273" s="395"/>
      <c r="T273" s="395"/>
      <c r="U273" s="395"/>
      <c r="V273" s="404"/>
      <c r="W273" s="404"/>
      <c r="X273" s="404"/>
      <c r="Y273" s="404"/>
      <c r="Z273" s="432"/>
      <c r="AA273" s="404"/>
      <c r="AB273" s="404"/>
      <c r="AC273" s="404"/>
    </row>
    <row r="274" spans="1:29" ht="12.75" customHeight="1" x14ac:dyDescent="0.25">
      <c r="A274" s="395"/>
      <c r="B274" s="395"/>
      <c r="C274" s="417"/>
      <c r="D274" s="412"/>
      <c r="E274" s="395"/>
      <c r="F274" s="412"/>
      <c r="G274" s="412"/>
      <c r="H274" s="412"/>
      <c r="I274" s="412"/>
      <c r="J274" s="412"/>
      <c r="K274" s="404"/>
      <c r="L274" s="404"/>
      <c r="M274" s="404"/>
      <c r="N274" s="404"/>
      <c r="O274" s="404"/>
      <c r="P274" s="404"/>
      <c r="Q274" s="404"/>
      <c r="R274" s="404"/>
      <c r="S274" s="395"/>
      <c r="T274" s="395"/>
      <c r="U274" s="395"/>
      <c r="V274" s="404"/>
      <c r="W274" s="404"/>
      <c r="X274" s="404"/>
      <c r="Y274" s="404"/>
      <c r="Z274" s="432"/>
      <c r="AA274" s="404"/>
      <c r="AB274" s="404"/>
      <c r="AC274" s="404"/>
    </row>
    <row r="275" spans="1:29" ht="12.75" customHeight="1" x14ac:dyDescent="0.25">
      <c r="A275" s="395"/>
      <c r="B275" s="395"/>
      <c r="C275" s="417"/>
      <c r="D275" s="412"/>
      <c r="E275" s="395"/>
      <c r="F275" s="412"/>
      <c r="G275" s="412"/>
      <c r="H275" s="412"/>
      <c r="I275" s="412"/>
      <c r="J275" s="412"/>
      <c r="K275" s="404"/>
      <c r="L275" s="404"/>
      <c r="M275" s="404"/>
      <c r="N275" s="404"/>
      <c r="O275" s="404"/>
      <c r="P275" s="404"/>
      <c r="Q275" s="404"/>
      <c r="R275" s="404"/>
      <c r="S275" s="395"/>
      <c r="T275" s="395"/>
      <c r="U275" s="395"/>
      <c r="V275" s="404"/>
      <c r="W275" s="404"/>
      <c r="X275" s="404"/>
      <c r="Y275" s="404"/>
      <c r="Z275" s="432"/>
      <c r="AA275" s="404"/>
      <c r="AB275" s="404"/>
      <c r="AC275" s="404"/>
    </row>
    <row r="276" spans="1:29" ht="12.75" customHeight="1" x14ac:dyDescent="0.25">
      <c r="A276" s="395"/>
      <c r="B276" s="395"/>
      <c r="C276" s="417"/>
      <c r="D276" s="412"/>
      <c r="E276" s="395"/>
      <c r="F276" s="412"/>
      <c r="G276" s="412"/>
      <c r="H276" s="412"/>
      <c r="I276" s="412"/>
      <c r="J276" s="412"/>
      <c r="K276" s="404"/>
      <c r="L276" s="404"/>
      <c r="M276" s="404"/>
      <c r="N276" s="404"/>
      <c r="O276" s="404"/>
      <c r="P276" s="404"/>
      <c r="Q276" s="404"/>
      <c r="R276" s="404"/>
      <c r="S276" s="395"/>
      <c r="T276" s="395"/>
      <c r="U276" s="395"/>
      <c r="V276" s="404"/>
      <c r="W276" s="404"/>
      <c r="X276" s="404"/>
      <c r="Y276" s="404"/>
      <c r="Z276" s="432"/>
      <c r="AA276" s="404"/>
      <c r="AB276" s="404"/>
      <c r="AC276" s="404"/>
    </row>
    <row r="277" spans="1:29" ht="12.75" customHeight="1" x14ac:dyDescent="0.25">
      <c r="A277" s="395"/>
      <c r="B277" s="395"/>
      <c r="C277" s="417"/>
      <c r="D277" s="412"/>
      <c r="E277" s="395"/>
      <c r="F277" s="412"/>
      <c r="G277" s="412"/>
      <c r="H277" s="412"/>
      <c r="I277" s="412"/>
      <c r="J277" s="412"/>
      <c r="K277" s="404"/>
      <c r="L277" s="404"/>
      <c r="M277" s="404"/>
      <c r="N277" s="404"/>
      <c r="O277" s="404"/>
      <c r="P277" s="404"/>
      <c r="Q277" s="404"/>
      <c r="R277" s="404"/>
      <c r="S277" s="395"/>
      <c r="T277" s="395"/>
      <c r="U277" s="395"/>
      <c r="V277" s="404"/>
      <c r="W277" s="404"/>
      <c r="X277" s="404"/>
      <c r="Y277" s="404"/>
      <c r="Z277" s="432"/>
      <c r="AA277" s="404"/>
      <c r="AB277" s="404"/>
      <c r="AC277" s="404"/>
    </row>
    <row r="278" spans="1:29" ht="12.75" customHeight="1" x14ac:dyDescent="0.25">
      <c r="A278" s="395"/>
      <c r="B278" s="395"/>
      <c r="C278" s="417"/>
      <c r="D278" s="412"/>
      <c r="E278" s="395"/>
      <c r="F278" s="412"/>
      <c r="G278" s="412"/>
      <c r="H278" s="412"/>
      <c r="I278" s="412"/>
      <c r="J278" s="412"/>
      <c r="K278" s="404"/>
      <c r="L278" s="404"/>
      <c r="M278" s="404"/>
      <c r="N278" s="404"/>
      <c r="O278" s="404"/>
      <c r="P278" s="404"/>
      <c r="Q278" s="404"/>
      <c r="R278" s="404"/>
      <c r="S278" s="395"/>
      <c r="T278" s="395"/>
      <c r="U278" s="395"/>
      <c r="V278" s="404"/>
      <c r="W278" s="404"/>
      <c r="X278" s="404"/>
      <c r="Y278" s="404"/>
      <c r="Z278" s="432"/>
      <c r="AA278" s="404"/>
      <c r="AB278" s="404"/>
      <c r="AC278" s="404"/>
    </row>
    <row r="279" spans="1:29" ht="12.75" customHeight="1" x14ac:dyDescent="0.25">
      <c r="A279" s="395"/>
      <c r="B279" s="395"/>
      <c r="C279" s="417"/>
      <c r="D279" s="412"/>
      <c r="E279" s="395"/>
      <c r="F279" s="412"/>
      <c r="G279" s="412"/>
      <c r="H279" s="412"/>
      <c r="I279" s="412"/>
      <c r="J279" s="412"/>
      <c r="K279" s="404"/>
      <c r="L279" s="404"/>
      <c r="M279" s="404"/>
      <c r="N279" s="404"/>
      <c r="O279" s="404"/>
      <c r="P279" s="404"/>
      <c r="Q279" s="404"/>
      <c r="R279" s="404"/>
      <c r="S279" s="395"/>
      <c r="T279" s="395"/>
      <c r="U279" s="395"/>
      <c r="V279" s="404"/>
      <c r="W279" s="404"/>
      <c r="X279" s="404"/>
      <c r="Y279" s="404"/>
      <c r="Z279" s="432"/>
      <c r="AA279" s="404"/>
      <c r="AB279" s="404"/>
      <c r="AC279" s="404"/>
    </row>
    <row r="280" spans="1:29" ht="12.75" customHeight="1" x14ac:dyDescent="0.25">
      <c r="A280" s="395"/>
      <c r="B280" s="395"/>
      <c r="C280" s="417"/>
      <c r="D280" s="412"/>
      <c r="E280" s="395"/>
      <c r="F280" s="412"/>
      <c r="G280" s="412"/>
      <c r="H280" s="412"/>
      <c r="I280" s="412"/>
      <c r="J280" s="412"/>
      <c r="K280" s="404"/>
      <c r="L280" s="404"/>
      <c r="M280" s="404"/>
      <c r="N280" s="404"/>
      <c r="O280" s="404"/>
      <c r="P280" s="404"/>
      <c r="Q280" s="404"/>
      <c r="R280" s="404"/>
      <c r="S280" s="395"/>
      <c r="T280" s="395"/>
      <c r="U280" s="395"/>
      <c r="V280" s="404"/>
      <c r="W280" s="404"/>
      <c r="X280" s="404"/>
      <c r="Y280" s="404"/>
      <c r="Z280" s="432"/>
      <c r="AA280" s="404"/>
      <c r="AB280" s="404"/>
      <c r="AC280" s="404"/>
    </row>
    <row r="281" spans="1:29" ht="12.75" customHeight="1" x14ac:dyDescent="0.25">
      <c r="A281" s="395"/>
      <c r="B281" s="395"/>
      <c r="C281" s="417"/>
      <c r="D281" s="412"/>
      <c r="E281" s="395"/>
      <c r="F281" s="412"/>
      <c r="G281" s="412"/>
      <c r="H281" s="412"/>
      <c r="I281" s="412"/>
      <c r="J281" s="412"/>
      <c r="K281" s="404"/>
      <c r="L281" s="404"/>
      <c r="M281" s="404"/>
      <c r="N281" s="404"/>
      <c r="O281" s="404"/>
      <c r="P281" s="404"/>
      <c r="Q281" s="404"/>
      <c r="R281" s="404"/>
      <c r="S281" s="395"/>
      <c r="T281" s="395"/>
      <c r="U281" s="395"/>
      <c r="V281" s="404"/>
      <c r="W281" s="404"/>
      <c r="X281" s="404"/>
      <c r="Y281" s="404"/>
      <c r="Z281" s="432"/>
      <c r="AA281" s="404"/>
      <c r="AB281" s="404"/>
      <c r="AC281" s="404"/>
    </row>
    <row r="282" spans="1:29" ht="12.75" customHeight="1" x14ac:dyDescent="0.25">
      <c r="A282" s="395"/>
      <c r="B282" s="395"/>
      <c r="C282" s="417"/>
      <c r="D282" s="412"/>
      <c r="E282" s="395"/>
      <c r="F282" s="412"/>
      <c r="G282" s="412"/>
      <c r="H282" s="412"/>
      <c r="I282" s="412"/>
      <c r="J282" s="412"/>
      <c r="K282" s="404"/>
      <c r="L282" s="404"/>
      <c r="M282" s="404"/>
      <c r="N282" s="404"/>
      <c r="O282" s="404"/>
      <c r="P282" s="404"/>
      <c r="Q282" s="404"/>
      <c r="R282" s="404"/>
      <c r="S282" s="395"/>
      <c r="T282" s="395"/>
      <c r="U282" s="395"/>
      <c r="V282" s="404"/>
      <c r="W282" s="404"/>
      <c r="X282" s="404"/>
      <c r="Y282" s="404"/>
      <c r="Z282" s="432"/>
      <c r="AA282" s="404"/>
      <c r="AB282" s="404"/>
      <c r="AC282" s="404"/>
    </row>
    <row r="283" spans="1:29" ht="12.75" customHeight="1" x14ac:dyDescent="0.25">
      <c r="A283" s="395"/>
      <c r="B283" s="395"/>
      <c r="C283" s="417"/>
      <c r="D283" s="412"/>
      <c r="E283" s="395"/>
      <c r="F283" s="412"/>
      <c r="G283" s="412"/>
      <c r="H283" s="412"/>
      <c r="I283" s="412"/>
      <c r="J283" s="412"/>
      <c r="K283" s="404"/>
      <c r="L283" s="404"/>
      <c r="M283" s="404"/>
      <c r="N283" s="404"/>
      <c r="O283" s="404"/>
      <c r="P283" s="404"/>
      <c r="Q283" s="404"/>
      <c r="R283" s="404"/>
      <c r="S283" s="395"/>
      <c r="T283" s="395"/>
      <c r="U283" s="395"/>
      <c r="V283" s="404"/>
      <c r="W283" s="404"/>
      <c r="X283" s="404"/>
      <c r="Y283" s="404"/>
      <c r="Z283" s="432"/>
      <c r="AA283" s="404"/>
      <c r="AB283" s="404"/>
      <c r="AC283" s="404"/>
    </row>
    <row r="284" spans="1:29" ht="12.75" customHeight="1" x14ac:dyDescent="0.25">
      <c r="A284" s="395"/>
      <c r="B284" s="395"/>
      <c r="C284" s="417"/>
      <c r="D284" s="412"/>
      <c r="E284" s="395"/>
      <c r="F284" s="412"/>
      <c r="G284" s="412"/>
      <c r="H284" s="412"/>
      <c r="I284" s="412"/>
      <c r="J284" s="412"/>
      <c r="K284" s="404"/>
      <c r="L284" s="404"/>
      <c r="M284" s="404"/>
      <c r="N284" s="404"/>
      <c r="O284" s="404"/>
      <c r="P284" s="404"/>
      <c r="Q284" s="404"/>
      <c r="R284" s="404"/>
      <c r="S284" s="395"/>
      <c r="T284" s="395"/>
      <c r="U284" s="395"/>
      <c r="V284" s="404"/>
      <c r="W284" s="404"/>
      <c r="X284" s="404"/>
      <c r="Y284" s="404"/>
      <c r="Z284" s="432"/>
      <c r="AA284" s="404"/>
      <c r="AB284" s="404"/>
      <c r="AC284" s="404"/>
    </row>
    <row r="285" spans="1:29" ht="12.75" customHeight="1" x14ac:dyDescent="0.25">
      <c r="A285" s="395"/>
      <c r="B285" s="395"/>
      <c r="C285" s="417"/>
      <c r="D285" s="412"/>
      <c r="E285" s="395"/>
      <c r="F285" s="412"/>
      <c r="G285" s="412"/>
      <c r="H285" s="412"/>
      <c r="I285" s="412"/>
      <c r="J285" s="412"/>
      <c r="K285" s="404"/>
      <c r="L285" s="404"/>
      <c r="M285" s="404"/>
      <c r="N285" s="404"/>
      <c r="O285" s="404"/>
      <c r="P285" s="404"/>
      <c r="Q285" s="404"/>
      <c r="R285" s="404"/>
      <c r="S285" s="395"/>
      <c r="T285" s="395"/>
      <c r="U285" s="395"/>
      <c r="V285" s="404"/>
      <c r="W285" s="404"/>
      <c r="X285" s="404"/>
      <c r="Y285" s="404"/>
      <c r="Z285" s="432"/>
      <c r="AA285" s="404"/>
      <c r="AB285" s="404"/>
      <c r="AC285" s="404"/>
    </row>
    <row r="286" spans="1:29" ht="12.75" customHeight="1" x14ac:dyDescent="0.25">
      <c r="A286" s="395"/>
      <c r="B286" s="395"/>
      <c r="C286" s="417"/>
      <c r="D286" s="412"/>
      <c r="E286" s="395"/>
      <c r="F286" s="412"/>
      <c r="G286" s="412"/>
      <c r="H286" s="412"/>
      <c r="I286" s="412"/>
      <c r="J286" s="412"/>
      <c r="K286" s="404"/>
      <c r="L286" s="404"/>
      <c r="M286" s="404"/>
      <c r="N286" s="404"/>
      <c r="O286" s="404"/>
      <c r="P286" s="404"/>
      <c r="Q286" s="404"/>
      <c r="R286" s="404"/>
      <c r="S286" s="395"/>
      <c r="T286" s="395"/>
      <c r="U286" s="395"/>
      <c r="V286" s="404"/>
      <c r="W286" s="404"/>
      <c r="X286" s="404"/>
      <c r="Y286" s="404"/>
      <c r="Z286" s="432"/>
      <c r="AA286" s="404"/>
      <c r="AB286" s="404"/>
      <c r="AC286" s="404"/>
    </row>
    <row r="287" spans="1:29" ht="12.75" customHeight="1" x14ac:dyDescent="0.25">
      <c r="A287" s="395"/>
      <c r="B287" s="395"/>
      <c r="C287" s="417"/>
      <c r="D287" s="412"/>
      <c r="E287" s="395"/>
      <c r="F287" s="412"/>
      <c r="G287" s="412"/>
      <c r="H287" s="412"/>
      <c r="I287" s="412"/>
      <c r="J287" s="412"/>
      <c r="K287" s="404"/>
      <c r="L287" s="404"/>
      <c r="M287" s="404"/>
      <c r="N287" s="404"/>
      <c r="O287" s="404"/>
      <c r="P287" s="404"/>
      <c r="Q287" s="404"/>
      <c r="R287" s="404"/>
      <c r="S287" s="395"/>
      <c r="T287" s="395"/>
      <c r="U287" s="395"/>
      <c r="V287" s="404"/>
      <c r="W287" s="404"/>
      <c r="X287" s="404"/>
      <c r="Y287" s="404"/>
      <c r="Z287" s="432"/>
      <c r="AA287" s="404"/>
      <c r="AB287" s="404"/>
      <c r="AC287" s="404"/>
    </row>
    <row r="288" spans="1:29" ht="12.75" customHeight="1" x14ac:dyDescent="0.25">
      <c r="A288" s="395"/>
      <c r="B288" s="395"/>
      <c r="C288" s="417"/>
      <c r="D288" s="412"/>
      <c r="E288" s="395"/>
      <c r="F288" s="412"/>
      <c r="G288" s="412"/>
      <c r="H288" s="412"/>
      <c r="I288" s="412"/>
      <c r="J288" s="412"/>
      <c r="K288" s="404"/>
      <c r="L288" s="404"/>
      <c r="M288" s="404"/>
      <c r="N288" s="404"/>
      <c r="O288" s="404"/>
      <c r="P288" s="404"/>
      <c r="Q288" s="404"/>
      <c r="R288" s="404"/>
      <c r="S288" s="395"/>
      <c r="T288" s="395"/>
      <c r="U288" s="395"/>
      <c r="V288" s="404"/>
      <c r="W288" s="404"/>
      <c r="X288" s="404"/>
      <c r="Y288" s="404"/>
      <c r="Z288" s="432"/>
      <c r="AA288" s="404"/>
      <c r="AB288" s="404"/>
      <c r="AC288" s="404"/>
    </row>
    <row r="289" spans="1:29" ht="12.75" customHeight="1" x14ac:dyDescent="0.25">
      <c r="A289" s="395"/>
      <c r="B289" s="395"/>
      <c r="C289" s="417"/>
      <c r="D289" s="412"/>
      <c r="E289" s="395"/>
      <c r="F289" s="412"/>
      <c r="G289" s="412"/>
      <c r="H289" s="412"/>
      <c r="I289" s="412"/>
      <c r="J289" s="412"/>
      <c r="K289" s="404"/>
      <c r="L289" s="404"/>
      <c r="M289" s="404"/>
      <c r="N289" s="404"/>
      <c r="O289" s="404"/>
      <c r="P289" s="404"/>
      <c r="Q289" s="404"/>
      <c r="R289" s="404"/>
      <c r="S289" s="395"/>
      <c r="T289" s="395"/>
      <c r="U289" s="395"/>
      <c r="V289" s="404"/>
      <c r="W289" s="404"/>
      <c r="X289" s="404"/>
      <c r="Y289" s="404"/>
      <c r="Z289" s="432"/>
      <c r="AA289" s="404"/>
      <c r="AB289" s="404"/>
      <c r="AC289" s="404"/>
    </row>
    <row r="290" spans="1:29" ht="12.75" customHeight="1" x14ac:dyDescent="0.25">
      <c r="A290" s="395"/>
      <c r="B290" s="395"/>
      <c r="C290" s="417"/>
      <c r="D290" s="412"/>
      <c r="E290" s="395"/>
      <c r="F290" s="412"/>
      <c r="G290" s="412"/>
      <c r="H290" s="412"/>
      <c r="I290" s="412"/>
      <c r="J290" s="412"/>
      <c r="K290" s="404"/>
      <c r="L290" s="404"/>
      <c r="M290" s="404"/>
      <c r="N290" s="404"/>
      <c r="O290" s="404"/>
      <c r="P290" s="404"/>
      <c r="Q290" s="404"/>
      <c r="R290" s="404"/>
      <c r="S290" s="395"/>
      <c r="T290" s="395"/>
      <c r="U290" s="395"/>
      <c r="V290" s="404"/>
      <c r="W290" s="404"/>
      <c r="X290" s="404"/>
      <c r="Y290" s="404"/>
      <c r="Z290" s="432"/>
      <c r="AA290" s="404"/>
      <c r="AB290" s="404"/>
      <c r="AC290" s="404"/>
    </row>
    <row r="291" spans="1:29" ht="12.75" customHeight="1" x14ac:dyDescent="0.25">
      <c r="A291" s="395"/>
      <c r="B291" s="395"/>
      <c r="C291" s="417"/>
      <c r="D291" s="412"/>
      <c r="E291" s="395"/>
      <c r="F291" s="412"/>
      <c r="G291" s="412"/>
      <c r="H291" s="412"/>
      <c r="I291" s="412"/>
      <c r="J291" s="412"/>
      <c r="K291" s="404"/>
      <c r="L291" s="404"/>
      <c r="M291" s="404"/>
      <c r="N291" s="404"/>
      <c r="O291" s="404"/>
      <c r="P291" s="404"/>
      <c r="Q291" s="404"/>
      <c r="R291" s="404"/>
      <c r="S291" s="395"/>
      <c r="T291" s="395"/>
      <c r="U291" s="395"/>
      <c r="V291" s="404"/>
      <c r="W291" s="404"/>
      <c r="X291" s="404"/>
      <c r="Y291" s="404"/>
      <c r="Z291" s="432"/>
      <c r="AA291" s="404"/>
      <c r="AB291" s="404"/>
      <c r="AC291" s="404"/>
    </row>
    <row r="292" spans="1:29" ht="12.75" customHeight="1" x14ac:dyDescent="0.25">
      <c r="A292" s="395"/>
      <c r="B292" s="395"/>
      <c r="C292" s="417"/>
      <c r="D292" s="412"/>
      <c r="E292" s="395"/>
      <c r="F292" s="412"/>
      <c r="G292" s="412"/>
      <c r="H292" s="412"/>
      <c r="I292" s="412"/>
      <c r="J292" s="412"/>
      <c r="K292" s="404"/>
      <c r="L292" s="404"/>
      <c r="M292" s="404"/>
      <c r="N292" s="404"/>
      <c r="O292" s="404"/>
      <c r="P292" s="404"/>
      <c r="Q292" s="404"/>
      <c r="R292" s="404"/>
      <c r="S292" s="395"/>
      <c r="T292" s="395"/>
      <c r="U292" s="395"/>
      <c r="V292" s="404"/>
      <c r="W292" s="404"/>
      <c r="X292" s="404"/>
      <c r="Y292" s="404"/>
      <c r="Z292" s="432"/>
      <c r="AA292" s="404"/>
      <c r="AB292" s="404"/>
      <c r="AC292" s="404"/>
    </row>
    <row r="293" spans="1:29" ht="12.75" customHeight="1" x14ac:dyDescent="0.25">
      <c r="A293" s="395"/>
      <c r="B293" s="395"/>
      <c r="C293" s="417"/>
      <c r="D293" s="412"/>
      <c r="E293" s="395"/>
      <c r="F293" s="412"/>
      <c r="G293" s="412"/>
      <c r="H293" s="412"/>
      <c r="I293" s="412"/>
      <c r="J293" s="412"/>
      <c r="K293" s="404"/>
      <c r="L293" s="404"/>
      <c r="M293" s="404"/>
      <c r="N293" s="404"/>
      <c r="O293" s="404"/>
      <c r="P293" s="404"/>
      <c r="Q293" s="404"/>
      <c r="R293" s="404"/>
      <c r="S293" s="395"/>
      <c r="T293" s="395"/>
      <c r="U293" s="395"/>
      <c r="V293" s="404"/>
      <c r="W293" s="404"/>
      <c r="X293" s="404"/>
      <c r="Y293" s="404"/>
      <c r="Z293" s="432"/>
      <c r="AA293" s="404"/>
      <c r="AB293" s="404"/>
      <c r="AC293" s="404"/>
    </row>
    <row r="294" spans="1:29" ht="12.75" customHeight="1" x14ac:dyDescent="0.25">
      <c r="A294" s="395"/>
      <c r="B294" s="395"/>
      <c r="C294" s="417"/>
      <c r="D294" s="412"/>
      <c r="E294" s="395"/>
      <c r="F294" s="412"/>
      <c r="G294" s="412"/>
      <c r="H294" s="412"/>
      <c r="I294" s="412"/>
      <c r="J294" s="412"/>
      <c r="K294" s="404"/>
      <c r="L294" s="404"/>
      <c r="M294" s="404"/>
      <c r="N294" s="404"/>
      <c r="O294" s="404"/>
      <c r="P294" s="404"/>
      <c r="Q294" s="404"/>
      <c r="R294" s="404"/>
      <c r="S294" s="395"/>
      <c r="T294" s="395"/>
      <c r="U294" s="395"/>
      <c r="V294" s="404"/>
      <c r="W294" s="404"/>
      <c r="X294" s="404"/>
      <c r="Y294" s="404"/>
      <c r="Z294" s="432"/>
      <c r="AA294" s="404"/>
      <c r="AB294" s="404"/>
      <c r="AC294" s="404"/>
    </row>
    <row r="295" spans="1:29" ht="12.75" customHeight="1" x14ac:dyDescent="0.25">
      <c r="A295" s="395"/>
      <c r="B295" s="395"/>
      <c r="C295" s="417"/>
      <c r="D295" s="412"/>
      <c r="E295" s="395"/>
      <c r="F295" s="412"/>
      <c r="G295" s="412"/>
      <c r="H295" s="412"/>
      <c r="I295" s="412"/>
      <c r="J295" s="412"/>
      <c r="K295" s="404"/>
      <c r="L295" s="404"/>
      <c r="M295" s="404"/>
      <c r="N295" s="404"/>
      <c r="O295" s="404"/>
      <c r="P295" s="404"/>
      <c r="Q295" s="404"/>
      <c r="R295" s="404"/>
      <c r="S295" s="395"/>
      <c r="T295" s="395"/>
      <c r="U295" s="395"/>
      <c r="V295" s="404"/>
      <c r="W295" s="404"/>
      <c r="X295" s="404"/>
      <c r="Y295" s="404"/>
      <c r="Z295" s="432"/>
      <c r="AA295" s="404"/>
      <c r="AB295" s="404"/>
      <c r="AC295" s="404"/>
    </row>
    <row r="296" spans="1:29" ht="12.75" customHeight="1" x14ac:dyDescent="0.25">
      <c r="A296" s="395"/>
      <c r="B296" s="395"/>
      <c r="C296" s="417"/>
      <c r="D296" s="412"/>
      <c r="E296" s="395"/>
      <c r="F296" s="412"/>
      <c r="G296" s="412"/>
      <c r="H296" s="412"/>
      <c r="I296" s="412"/>
      <c r="J296" s="412"/>
      <c r="K296" s="404"/>
      <c r="L296" s="404"/>
      <c r="M296" s="404"/>
      <c r="N296" s="404"/>
      <c r="O296" s="404"/>
      <c r="P296" s="404"/>
      <c r="Q296" s="404"/>
      <c r="R296" s="404"/>
      <c r="S296" s="395"/>
      <c r="T296" s="395"/>
      <c r="U296" s="395"/>
      <c r="V296" s="404"/>
      <c r="W296" s="404"/>
      <c r="X296" s="404"/>
      <c r="Y296" s="404"/>
      <c r="Z296" s="432"/>
      <c r="AA296" s="404"/>
      <c r="AB296" s="404"/>
      <c r="AC296" s="404"/>
    </row>
    <row r="297" spans="1:29" ht="12.75" customHeight="1" x14ac:dyDescent="0.25">
      <c r="A297" s="395"/>
      <c r="B297" s="395"/>
      <c r="C297" s="417"/>
      <c r="D297" s="412"/>
      <c r="E297" s="395"/>
      <c r="F297" s="412"/>
      <c r="G297" s="412"/>
      <c r="H297" s="412"/>
      <c r="I297" s="412"/>
      <c r="J297" s="412"/>
      <c r="K297" s="404"/>
      <c r="L297" s="404"/>
      <c r="M297" s="404"/>
      <c r="N297" s="404"/>
      <c r="O297" s="404"/>
      <c r="P297" s="404"/>
      <c r="Q297" s="404"/>
      <c r="R297" s="404"/>
      <c r="S297" s="395"/>
      <c r="T297" s="395"/>
      <c r="U297" s="395"/>
      <c r="V297" s="404"/>
      <c r="W297" s="404"/>
      <c r="X297" s="404"/>
      <c r="Y297" s="404"/>
      <c r="Z297" s="432"/>
      <c r="AA297" s="404"/>
      <c r="AB297" s="404"/>
      <c r="AC297" s="404"/>
    </row>
    <row r="298" spans="1:29" ht="12.75" customHeight="1" x14ac:dyDescent="0.25">
      <c r="A298" s="395"/>
      <c r="B298" s="395"/>
      <c r="C298" s="417"/>
      <c r="D298" s="412"/>
      <c r="E298" s="395"/>
      <c r="F298" s="412"/>
      <c r="G298" s="412"/>
      <c r="H298" s="412"/>
      <c r="I298" s="412"/>
      <c r="J298" s="412"/>
      <c r="K298" s="404"/>
      <c r="L298" s="404"/>
      <c r="M298" s="404"/>
      <c r="N298" s="404"/>
      <c r="O298" s="404"/>
      <c r="P298" s="404"/>
      <c r="Q298" s="404"/>
      <c r="R298" s="404"/>
      <c r="S298" s="395"/>
      <c r="T298" s="395"/>
      <c r="U298" s="395"/>
      <c r="V298" s="404"/>
      <c r="W298" s="404"/>
      <c r="X298" s="404"/>
      <c r="Y298" s="404"/>
      <c r="Z298" s="432"/>
      <c r="AA298" s="404"/>
      <c r="AB298" s="404"/>
      <c r="AC298" s="404"/>
    </row>
    <row r="299" spans="1:29" ht="12.75" customHeight="1" x14ac:dyDescent="0.25">
      <c r="A299" s="395"/>
      <c r="B299" s="395"/>
      <c r="C299" s="417"/>
      <c r="D299" s="412"/>
      <c r="E299" s="395"/>
      <c r="F299" s="412"/>
      <c r="G299" s="412"/>
      <c r="H299" s="412"/>
      <c r="I299" s="412"/>
      <c r="J299" s="412"/>
      <c r="K299" s="404"/>
      <c r="L299" s="404"/>
      <c r="M299" s="404"/>
      <c r="N299" s="404"/>
      <c r="O299" s="404"/>
      <c r="P299" s="404"/>
      <c r="Q299" s="404"/>
      <c r="R299" s="404"/>
      <c r="S299" s="395"/>
      <c r="T299" s="395"/>
      <c r="U299" s="395"/>
      <c r="V299" s="404"/>
      <c r="W299" s="404"/>
      <c r="X299" s="404"/>
      <c r="Y299" s="404"/>
      <c r="Z299" s="432"/>
      <c r="AA299" s="404"/>
      <c r="AB299" s="404"/>
      <c r="AC299" s="404"/>
    </row>
    <row r="300" spans="1:29" ht="12.75" customHeight="1" x14ac:dyDescent="0.25">
      <c r="A300" s="395"/>
      <c r="B300" s="395"/>
      <c r="C300" s="417"/>
      <c r="D300" s="412"/>
      <c r="E300" s="395"/>
      <c r="F300" s="412"/>
      <c r="G300" s="412"/>
      <c r="H300" s="412"/>
      <c r="I300" s="412"/>
      <c r="J300" s="412"/>
      <c r="K300" s="404"/>
      <c r="L300" s="404"/>
      <c r="M300" s="404"/>
      <c r="N300" s="404"/>
      <c r="O300" s="404"/>
      <c r="P300" s="404"/>
      <c r="Q300" s="404"/>
      <c r="R300" s="404"/>
      <c r="S300" s="395"/>
      <c r="T300" s="395"/>
      <c r="U300" s="395"/>
      <c r="V300" s="404"/>
      <c r="W300" s="404"/>
      <c r="X300" s="404"/>
      <c r="Y300" s="404"/>
      <c r="Z300" s="432"/>
      <c r="AA300" s="404"/>
      <c r="AB300" s="404"/>
      <c r="AC300" s="404"/>
    </row>
    <row r="301" spans="1:29" ht="12.75" customHeight="1" x14ac:dyDescent="0.25">
      <c r="A301" s="395"/>
      <c r="B301" s="395"/>
      <c r="C301" s="417"/>
      <c r="D301" s="412"/>
      <c r="E301" s="395"/>
      <c r="F301" s="412"/>
      <c r="G301" s="412"/>
      <c r="H301" s="412"/>
      <c r="I301" s="412"/>
      <c r="J301" s="412"/>
      <c r="K301" s="404"/>
      <c r="L301" s="404"/>
      <c r="M301" s="404"/>
      <c r="N301" s="404"/>
      <c r="O301" s="404"/>
      <c r="P301" s="404"/>
      <c r="Q301" s="404"/>
      <c r="R301" s="404"/>
      <c r="S301" s="395"/>
      <c r="T301" s="395"/>
      <c r="U301" s="395"/>
      <c r="V301" s="404"/>
      <c r="W301" s="404"/>
      <c r="X301" s="404"/>
      <c r="Y301" s="404"/>
      <c r="Z301" s="432"/>
      <c r="AA301" s="404"/>
      <c r="AB301" s="404"/>
      <c r="AC301" s="404"/>
    </row>
    <row r="302" spans="1:29" ht="12.75" customHeight="1" x14ac:dyDescent="0.25">
      <c r="A302" s="395"/>
      <c r="B302" s="395"/>
      <c r="C302" s="417"/>
      <c r="D302" s="412"/>
      <c r="E302" s="395"/>
      <c r="F302" s="412"/>
      <c r="G302" s="412"/>
      <c r="H302" s="412"/>
      <c r="I302" s="412"/>
      <c r="J302" s="412"/>
      <c r="K302" s="404"/>
      <c r="L302" s="404"/>
      <c r="M302" s="404"/>
      <c r="N302" s="404"/>
      <c r="O302" s="404"/>
      <c r="P302" s="404"/>
      <c r="Q302" s="404"/>
      <c r="R302" s="404"/>
      <c r="S302" s="395"/>
      <c r="T302" s="395"/>
      <c r="U302" s="395"/>
      <c r="V302" s="404"/>
      <c r="W302" s="404"/>
      <c r="X302" s="404"/>
      <c r="Y302" s="404"/>
      <c r="Z302" s="432"/>
      <c r="AA302" s="404"/>
      <c r="AB302" s="404"/>
      <c r="AC302" s="404"/>
    </row>
    <row r="303" spans="1:29" ht="12.75" customHeight="1" x14ac:dyDescent="0.25">
      <c r="A303" s="395"/>
      <c r="B303" s="395"/>
      <c r="C303" s="417"/>
      <c r="D303" s="412"/>
      <c r="E303" s="395"/>
      <c r="F303" s="412"/>
      <c r="G303" s="412"/>
      <c r="H303" s="412"/>
      <c r="I303" s="412"/>
      <c r="J303" s="412"/>
      <c r="K303" s="404"/>
      <c r="L303" s="404"/>
      <c r="M303" s="404"/>
      <c r="N303" s="404"/>
      <c r="O303" s="404"/>
      <c r="P303" s="404"/>
      <c r="Q303" s="404"/>
      <c r="R303" s="404"/>
      <c r="S303" s="395"/>
      <c r="T303" s="395"/>
      <c r="U303" s="395"/>
      <c r="V303" s="404"/>
      <c r="W303" s="404"/>
      <c r="X303" s="404"/>
      <c r="Y303" s="404"/>
      <c r="Z303" s="432"/>
      <c r="AA303" s="404"/>
      <c r="AB303" s="404"/>
      <c r="AC303" s="404"/>
    </row>
    <row r="304" spans="1:29" ht="12.75" customHeight="1" x14ac:dyDescent="0.25">
      <c r="A304" s="395"/>
      <c r="B304" s="395"/>
      <c r="C304" s="417"/>
      <c r="D304" s="412"/>
      <c r="E304" s="395"/>
      <c r="F304" s="412"/>
      <c r="G304" s="412"/>
      <c r="H304" s="412"/>
      <c r="I304" s="412"/>
      <c r="J304" s="412"/>
      <c r="K304" s="404"/>
      <c r="L304" s="404"/>
      <c r="M304" s="404"/>
      <c r="N304" s="404"/>
      <c r="O304" s="404"/>
      <c r="P304" s="404"/>
      <c r="Q304" s="404"/>
      <c r="R304" s="404"/>
      <c r="S304" s="395"/>
      <c r="T304" s="395"/>
      <c r="U304" s="395"/>
      <c r="V304" s="404"/>
      <c r="W304" s="404"/>
      <c r="X304" s="404"/>
      <c r="Y304" s="404"/>
      <c r="Z304" s="432"/>
      <c r="AA304" s="404"/>
      <c r="AB304" s="404"/>
      <c r="AC304" s="404"/>
    </row>
    <row r="305" spans="1:29" ht="12.75" customHeight="1" x14ac:dyDescent="0.25">
      <c r="A305" s="395"/>
      <c r="B305" s="395"/>
      <c r="C305" s="417"/>
      <c r="D305" s="412"/>
      <c r="E305" s="395"/>
      <c r="F305" s="412"/>
      <c r="G305" s="412"/>
      <c r="H305" s="412"/>
      <c r="I305" s="412"/>
      <c r="J305" s="412"/>
      <c r="K305" s="404"/>
      <c r="L305" s="404"/>
      <c r="M305" s="404"/>
      <c r="N305" s="404"/>
      <c r="O305" s="404"/>
      <c r="P305" s="404"/>
      <c r="Q305" s="404"/>
      <c r="R305" s="404"/>
      <c r="S305" s="395"/>
      <c r="T305" s="395"/>
      <c r="U305" s="395"/>
      <c r="V305" s="404"/>
      <c r="W305" s="404"/>
      <c r="X305" s="404"/>
      <c r="Y305" s="404"/>
      <c r="Z305" s="432"/>
      <c r="AA305" s="404"/>
      <c r="AB305" s="404"/>
      <c r="AC305" s="404"/>
    </row>
    <row r="306" spans="1:29" ht="12.75" customHeight="1" x14ac:dyDescent="0.25">
      <c r="A306" s="395"/>
      <c r="B306" s="395"/>
      <c r="C306" s="417"/>
      <c r="D306" s="412"/>
      <c r="E306" s="395"/>
      <c r="F306" s="412"/>
      <c r="G306" s="412"/>
      <c r="H306" s="412"/>
      <c r="I306" s="412"/>
      <c r="J306" s="412"/>
      <c r="K306" s="404"/>
      <c r="L306" s="404"/>
      <c r="M306" s="404"/>
      <c r="N306" s="404"/>
      <c r="O306" s="404"/>
      <c r="P306" s="404"/>
      <c r="Q306" s="404"/>
      <c r="R306" s="404"/>
      <c r="S306" s="395"/>
      <c r="T306" s="395"/>
      <c r="U306" s="395"/>
      <c r="V306" s="404"/>
      <c r="W306" s="404"/>
      <c r="X306" s="404"/>
      <c r="Y306" s="404"/>
      <c r="Z306" s="432"/>
      <c r="AA306" s="404"/>
      <c r="AB306" s="404"/>
      <c r="AC306" s="404"/>
    </row>
    <row r="307" spans="1:29" ht="12.75" customHeight="1" x14ac:dyDescent="0.25">
      <c r="A307" s="395"/>
      <c r="B307" s="395"/>
      <c r="C307" s="417"/>
      <c r="D307" s="412"/>
      <c r="E307" s="395"/>
      <c r="F307" s="412"/>
      <c r="G307" s="412"/>
      <c r="H307" s="412"/>
      <c r="I307" s="412"/>
      <c r="J307" s="412"/>
      <c r="K307" s="404"/>
      <c r="L307" s="404"/>
      <c r="M307" s="404"/>
      <c r="N307" s="404"/>
      <c r="O307" s="404"/>
      <c r="P307" s="404"/>
      <c r="Q307" s="404"/>
      <c r="R307" s="404"/>
      <c r="S307" s="395"/>
      <c r="T307" s="395"/>
      <c r="U307" s="395"/>
      <c r="V307" s="404"/>
      <c r="W307" s="404"/>
      <c r="X307" s="404"/>
      <c r="Y307" s="404"/>
      <c r="Z307" s="432"/>
      <c r="AA307" s="404"/>
      <c r="AB307" s="404"/>
      <c r="AC307" s="404"/>
    </row>
    <row r="308" spans="1:29" ht="12.75" customHeight="1" x14ac:dyDescent="0.25">
      <c r="A308" s="395"/>
      <c r="B308" s="395"/>
      <c r="C308" s="417"/>
      <c r="D308" s="412"/>
      <c r="E308" s="395"/>
      <c r="F308" s="412"/>
      <c r="G308" s="412"/>
      <c r="H308" s="412"/>
      <c r="I308" s="412"/>
      <c r="J308" s="412"/>
      <c r="K308" s="404"/>
      <c r="L308" s="404"/>
      <c r="M308" s="404"/>
      <c r="N308" s="404"/>
      <c r="O308" s="404"/>
      <c r="P308" s="404"/>
      <c r="Q308" s="404"/>
      <c r="R308" s="404"/>
      <c r="S308" s="395"/>
      <c r="T308" s="395"/>
      <c r="U308" s="395"/>
      <c r="V308" s="404"/>
      <c r="W308" s="404"/>
      <c r="X308" s="404"/>
      <c r="Y308" s="404"/>
      <c r="Z308" s="432"/>
      <c r="AA308" s="404"/>
      <c r="AB308" s="404"/>
      <c r="AC308" s="404"/>
    </row>
    <row r="309" spans="1:29" ht="12.75" customHeight="1" x14ac:dyDescent="0.25">
      <c r="A309" s="395"/>
      <c r="B309" s="395"/>
      <c r="C309" s="417"/>
      <c r="D309" s="412"/>
      <c r="E309" s="395"/>
      <c r="F309" s="412"/>
      <c r="G309" s="412"/>
      <c r="H309" s="412"/>
      <c r="I309" s="412"/>
      <c r="J309" s="412"/>
      <c r="K309" s="404"/>
      <c r="L309" s="404"/>
      <c r="M309" s="404"/>
      <c r="N309" s="404"/>
      <c r="O309" s="404"/>
      <c r="P309" s="404"/>
      <c r="Q309" s="404"/>
      <c r="R309" s="404"/>
      <c r="S309" s="395"/>
      <c r="T309" s="395"/>
      <c r="U309" s="395"/>
      <c r="V309" s="404"/>
      <c r="W309" s="404"/>
      <c r="X309" s="404"/>
      <c r="Y309" s="404"/>
      <c r="Z309" s="432"/>
      <c r="AA309" s="404"/>
      <c r="AB309" s="404"/>
      <c r="AC309" s="404"/>
    </row>
    <row r="310" spans="1:29" ht="12.75" customHeight="1" x14ac:dyDescent="0.25">
      <c r="A310" s="395"/>
      <c r="B310" s="395"/>
      <c r="C310" s="417"/>
      <c r="D310" s="412"/>
      <c r="E310" s="395"/>
      <c r="F310" s="412"/>
      <c r="G310" s="412"/>
      <c r="H310" s="412"/>
      <c r="I310" s="412"/>
      <c r="J310" s="412"/>
      <c r="K310" s="404"/>
      <c r="L310" s="404"/>
      <c r="M310" s="404"/>
      <c r="N310" s="404"/>
      <c r="O310" s="404"/>
      <c r="P310" s="404"/>
      <c r="Q310" s="404"/>
      <c r="R310" s="404"/>
      <c r="S310" s="395"/>
      <c r="T310" s="395"/>
      <c r="U310" s="395"/>
      <c r="V310" s="404"/>
      <c r="W310" s="404"/>
      <c r="X310" s="404"/>
      <c r="Y310" s="404"/>
      <c r="Z310" s="432"/>
      <c r="AA310" s="404"/>
      <c r="AB310" s="404"/>
      <c r="AC310" s="404"/>
    </row>
    <row r="311" spans="1:29" ht="12.75" customHeight="1" x14ac:dyDescent="0.25">
      <c r="A311" s="395"/>
      <c r="B311" s="395"/>
      <c r="C311" s="417"/>
      <c r="D311" s="412"/>
      <c r="E311" s="395"/>
      <c r="F311" s="412"/>
      <c r="G311" s="412"/>
      <c r="H311" s="412"/>
      <c r="I311" s="412"/>
      <c r="J311" s="412"/>
      <c r="K311" s="404"/>
      <c r="L311" s="404"/>
      <c r="M311" s="404"/>
      <c r="N311" s="404"/>
      <c r="O311" s="404"/>
      <c r="P311" s="404"/>
      <c r="Q311" s="404"/>
      <c r="R311" s="404"/>
      <c r="S311" s="395"/>
      <c r="T311" s="395"/>
      <c r="U311" s="395"/>
      <c r="V311" s="404"/>
      <c r="W311" s="404"/>
      <c r="X311" s="404"/>
      <c r="Y311" s="404"/>
      <c r="Z311" s="432"/>
      <c r="AA311" s="404"/>
      <c r="AB311" s="404"/>
      <c r="AC311" s="404"/>
    </row>
    <row r="312" spans="1:29" ht="12.75" customHeight="1" x14ac:dyDescent="0.25">
      <c r="A312" s="395"/>
      <c r="B312" s="395"/>
      <c r="C312" s="417"/>
      <c r="D312" s="412"/>
      <c r="E312" s="395"/>
      <c r="F312" s="412"/>
      <c r="G312" s="412"/>
      <c r="H312" s="412"/>
      <c r="I312" s="412"/>
      <c r="J312" s="412"/>
      <c r="K312" s="404"/>
      <c r="L312" s="404"/>
      <c r="M312" s="404"/>
      <c r="N312" s="404"/>
      <c r="O312" s="404"/>
      <c r="P312" s="404"/>
      <c r="Q312" s="404"/>
      <c r="R312" s="404"/>
      <c r="S312" s="395"/>
      <c r="T312" s="395"/>
      <c r="U312" s="395"/>
      <c r="V312" s="404"/>
      <c r="W312" s="404"/>
      <c r="X312" s="404"/>
      <c r="Y312" s="404"/>
      <c r="Z312" s="432"/>
      <c r="AA312" s="404"/>
      <c r="AB312" s="404"/>
      <c r="AC312" s="404"/>
    </row>
    <row r="313" spans="1:29" ht="12.75" customHeight="1" x14ac:dyDescent="0.25">
      <c r="A313" s="395"/>
      <c r="B313" s="395"/>
      <c r="C313" s="417"/>
      <c r="D313" s="412"/>
      <c r="E313" s="395"/>
      <c r="F313" s="412"/>
      <c r="G313" s="412"/>
      <c r="H313" s="412"/>
      <c r="I313" s="412"/>
      <c r="J313" s="412"/>
      <c r="K313" s="404"/>
      <c r="L313" s="404"/>
      <c r="M313" s="404"/>
      <c r="N313" s="404"/>
      <c r="O313" s="404"/>
      <c r="P313" s="404"/>
      <c r="Q313" s="404"/>
      <c r="R313" s="404"/>
      <c r="S313" s="395"/>
      <c r="T313" s="395"/>
      <c r="U313" s="395"/>
      <c r="V313" s="404"/>
      <c r="W313" s="404"/>
      <c r="X313" s="404"/>
      <c r="Y313" s="404"/>
      <c r="Z313" s="432"/>
      <c r="AA313" s="404"/>
      <c r="AB313" s="404"/>
      <c r="AC313" s="404"/>
    </row>
    <row r="314" spans="1:29" ht="12.75" customHeight="1" x14ac:dyDescent="0.25">
      <c r="A314" s="395"/>
      <c r="B314" s="395"/>
      <c r="C314" s="417"/>
      <c r="D314" s="412"/>
      <c r="E314" s="395"/>
      <c r="F314" s="412"/>
      <c r="G314" s="412"/>
      <c r="H314" s="412"/>
      <c r="I314" s="412"/>
      <c r="J314" s="412"/>
      <c r="K314" s="404"/>
      <c r="L314" s="404"/>
      <c r="M314" s="404"/>
      <c r="N314" s="404"/>
      <c r="O314" s="404"/>
      <c r="P314" s="404"/>
      <c r="Q314" s="404"/>
      <c r="R314" s="404"/>
      <c r="S314" s="395"/>
      <c r="T314" s="395"/>
      <c r="U314" s="395"/>
      <c r="V314" s="404"/>
      <c r="W314" s="404"/>
      <c r="X314" s="404"/>
      <c r="Y314" s="404"/>
      <c r="Z314" s="432"/>
      <c r="AA314" s="404"/>
      <c r="AB314" s="404"/>
      <c r="AC314" s="404"/>
    </row>
    <row r="315" spans="1:29" ht="12.75" customHeight="1" x14ac:dyDescent="0.25">
      <c r="A315" s="395"/>
      <c r="B315" s="395"/>
      <c r="C315" s="417"/>
      <c r="D315" s="412"/>
      <c r="E315" s="395"/>
      <c r="F315" s="412"/>
      <c r="G315" s="412"/>
      <c r="H315" s="412"/>
      <c r="I315" s="412"/>
      <c r="J315" s="412"/>
      <c r="K315" s="404"/>
      <c r="L315" s="404"/>
      <c r="M315" s="404"/>
      <c r="N315" s="404"/>
      <c r="O315" s="404"/>
      <c r="P315" s="404"/>
      <c r="Q315" s="404"/>
      <c r="R315" s="404"/>
      <c r="S315" s="395"/>
      <c r="T315" s="395"/>
      <c r="U315" s="395"/>
      <c r="V315" s="404"/>
      <c r="W315" s="404"/>
      <c r="X315" s="404"/>
      <c r="Y315" s="404"/>
      <c r="Z315" s="432"/>
      <c r="AA315" s="404"/>
      <c r="AB315" s="404"/>
      <c r="AC315" s="404"/>
    </row>
    <row r="316" spans="1:29" ht="12.75" customHeight="1" x14ac:dyDescent="0.25">
      <c r="A316" s="395"/>
      <c r="B316" s="395"/>
      <c r="C316" s="417"/>
      <c r="D316" s="412"/>
      <c r="E316" s="395"/>
      <c r="F316" s="412"/>
      <c r="G316" s="412"/>
      <c r="H316" s="412"/>
      <c r="I316" s="412"/>
      <c r="J316" s="412"/>
      <c r="K316" s="404"/>
      <c r="L316" s="404"/>
      <c r="M316" s="404"/>
      <c r="N316" s="404"/>
      <c r="O316" s="404"/>
      <c r="P316" s="404"/>
      <c r="Q316" s="404"/>
      <c r="R316" s="404"/>
      <c r="S316" s="395"/>
      <c r="T316" s="395"/>
      <c r="U316" s="395"/>
      <c r="V316" s="404"/>
      <c r="W316" s="404"/>
      <c r="X316" s="404"/>
      <c r="Y316" s="404"/>
      <c r="Z316" s="432"/>
      <c r="AA316" s="404"/>
      <c r="AB316" s="404"/>
      <c r="AC316" s="404"/>
    </row>
    <row r="317" spans="1:29" ht="12.75" customHeight="1" x14ac:dyDescent="0.25">
      <c r="A317" s="395"/>
      <c r="B317" s="395"/>
      <c r="C317" s="417"/>
      <c r="D317" s="412"/>
      <c r="E317" s="395"/>
      <c r="F317" s="412"/>
      <c r="G317" s="412"/>
      <c r="H317" s="412"/>
      <c r="I317" s="412"/>
      <c r="J317" s="412"/>
      <c r="K317" s="404"/>
      <c r="L317" s="404"/>
      <c r="M317" s="404"/>
      <c r="N317" s="404"/>
      <c r="O317" s="404"/>
      <c r="P317" s="404"/>
      <c r="Q317" s="404"/>
      <c r="R317" s="404"/>
      <c r="S317" s="395"/>
      <c r="T317" s="395"/>
      <c r="U317" s="395"/>
      <c r="V317" s="404"/>
      <c r="W317" s="404"/>
      <c r="X317" s="404"/>
      <c r="Y317" s="404"/>
      <c r="Z317" s="432"/>
      <c r="AA317" s="404"/>
      <c r="AB317" s="404"/>
      <c r="AC317" s="404"/>
    </row>
    <row r="318" spans="1:29" ht="12.75" customHeight="1" x14ac:dyDescent="0.25">
      <c r="A318" s="395"/>
      <c r="B318" s="395"/>
      <c r="C318" s="417"/>
      <c r="D318" s="412"/>
      <c r="E318" s="395"/>
      <c r="F318" s="412"/>
      <c r="G318" s="412"/>
      <c r="H318" s="412"/>
      <c r="I318" s="412"/>
      <c r="J318" s="412"/>
      <c r="K318" s="404"/>
      <c r="L318" s="404"/>
      <c r="M318" s="404"/>
      <c r="N318" s="404"/>
      <c r="O318" s="404"/>
      <c r="P318" s="404"/>
      <c r="Q318" s="404"/>
      <c r="R318" s="404"/>
      <c r="S318" s="395"/>
      <c r="T318" s="395"/>
      <c r="U318" s="395"/>
      <c r="V318" s="404"/>
      <c r="W318" s="404"/>
      <c r="X318" s="404"/>
      <c r="Y318" s="404"/>
      <c r="Z318" s="432"/>
      <c r="AA318" s="404"/>
      <c r="AB318" s="404"/>
      <c r="AC318" s="404"/>
    </row>
    <row r="319" spans="1:29" ht="12.75" customHeight="1" x14ac:dyDescent="0.25">
      <c r="A319" s="395"/>
      <c r="B319" s="395"/>
      <c r="C319" s="417"/>
      <c r="D319" s="412"/>
      <c r="E319" s="395"/>
      <c r="F319" s="412"/>
      <c r="G319" s="412"/>
      <c r="H319" s="412"/>
      <c r="I319" s="412"/>
      <c r="J319" s="412"/>
      <c r="K319" s="404"/>
      <c r="L319" s="404"/>
      <c r="M319" s="404"/>
      <c r="N319" s="404"/>
      <c r="O319" s="404"/>
      <c r="P319" s="404"/>
      <c r="Q319" s="404"/>
      <c r="R319" s="404"/>
      <c r="S319" s="395"/>
      <c r="T319" s="395"/>
      <c r="U319" s="395"/>
      <c r="V319" s="404"/>
      <c r="W319" s="404"/>
      <c r="X319" s="404"/>
      <c r="Y319" s="404"/>
      <c r="Z319" s="432"/>
      <c r="AA319" s="404"/>
      <c r="AB319" s="404"/>
      <c r="AC319" s="404"/>
    </row>
    <row r="320" spans="1:29" ht="12.75" customHeight="1" x14ac:dyDescent="0.25">
      <c r="A320" s="395"/>
      <c r="B320" s="395"/>
      <c r="C320" s="417"/>
      <c r="D320" s="412"/>
      <c r="E320" s="395"/>
      <c r="F320" s="412"/>
      <c r="G320" s="412"/>
      <c r="H320" s="412"/>
      <c r="I320" s="412"/>
      <c r="J320" s="412"/>
      <c r="K320" s="404"/>
      <c r="L320" s="404"/>
      <c r="M320" s="404"/>
      <c r="N320" s="404"/>
      <c r="O320" s="404"/>
      <c r="P320" s="404"/>
      <c r="Q320" s="404"/>
      <c r="R320" s="404"/>
      <c r="S320" s="395"/>
      <c r="T320" s="395"/>
      <c r="U320" s="395"/>
      <c r="V320" s="404"/>
      <c r="W320" s="404"/>
      <c r="X320" s="404"/>
      <c r="Y320" s="404"/>
      <c r="Z320" s="432"/>
      <c r="AA320" s="404"/>
      <c r="AB320" s="404"/>
      <c r="AC320" s="404"/>
    </row>
    <row r="321" spans="1:29" ht="12.75" customHeight="1" x14ac:dyDescent="0.25">
      <c r="A321" s="395"/>
      <c r="B321" s="395"/>
      <c r="C321" s="417"/>
      <c r="D321" s="412"/>
      <c r="E321" s="395"/>
      <c r="F321" s="412"/>
      <c r="G321" s="412"/>
      <c r="H321" s="412"/>
      <c r="I321" s="412"/>
      <c r="J321" s="412"/>
      <c r="K321" s="404"/>
      <c r="L321" s="404"/>
      <c r="M321" s="404"/>
      <c r="N321" s="404"/>
      <c r="O321" s="404"/>
      <c r="P321" s="404"/>
      <c r="Q321" s="404"/>
      <c r="R321" s="404"/>
      <c r="S321" s="395"/>
      <c r="T321" s="395"/>
      <c r="U321" s="395"/>
      <c r="V321" s="404"/>
      <c r="W321" s="404"/>
      <c r="X321" s="404"/>
      <c r="Y321" s="404"/>
      <c r="Z321" s="432"/>
      <c r="AA321" s="404"/>
      <c r="AB321" s="404"/>
      <c r="AC321" s="404"/>
    </row>
    <row r="322" spans="1:29" ht="12.75" customHeight="1" x14ac:dyDescent="0.25">
      <c r="A322" s="395"/>
      <c r="B322" s="395"/>
      <c r="C322" s="417"/>
      <c r="D322" s="412"/>
      <c r="E322" s="395"/>
      <c r="F322" s="412"/>
      <c r="G322" s="412"/>
      <c r="H322" s="412"/>
      <c r="I322" s="412"/>
      <c r="J322" s="412"/>
      <c r="K322" s="404"/>
      <c r="L322" s="404"/>
      <c r="M322" s="404"/>
      <c r="N322" s="404"/>
      <c r="O322" s="404"/>
      <c r="P322" s="404"/>
      <c r="Q322" s="404"/>
      <c r="R322" s="404"/>
      <c r="S322" s="395"/>
      <c r="T322" s="395"/>
      <c r="U322" s="395"/>
      <c r="V322" s="404"/>
      <c r="W322" s="404"/>
      <c r="X322" s="404"/>
      <c r="Y322" s="404"/>
      <c r="Z322" s="432"/>
      <c r="AA322" s="404"/>
      <c r="AB322" s="404"/>
      <c r="AC322" s="404"/>
    </row>
    <row r="323" spans="1:29" ht="12.75" customHeight="1" x14ac:dyDescent="0.25">
      <c r="A323" s="395"/>
      <c r="B323" s="395"/>
      <c r="C323" s="417"/>
      <c r="D323" s="412"/>
      <c r="E323" s="395"/>
      <c r="F323" s="412"/>
      <c r="G323" s="412"/>
      <c r="H323" s="412"/>
      <c r="I323" s="412"/>
      <c r="J323" s="412"/>
      <c r="K323" s="404"/>
      <c r="L323" s="404"/>
      <c r="M323" s="404"/>
      <c r="N323" s="404"/>
      <c r="O323" s="404"/>
      <c r="P323" s="404"/>
      <c r="Q323" s="404"/>
      <c r="R323" s="404"/>
      <c r="S323" s="395"/>
      <c r="T323" s="395"/>
      <c r="U323" s="395"/>
      <c r="V323" s="404"/>
      <c r="W323" s="404"/>
      <c r="X323" s="404"/>
      <c r="Y323" s="404"/>
      <c r="Z323" s="432"/>
      <c r="AA323" s="404"/>
      <c r="AB323" s="404"/>
      <c r="AC323" s="404"/>
    </row>
    <row r="324" spans="1:29" ht="12.75" customHeight="1" x14ac:dyDescent="0.25">
      <c r="A324" s="395"/>
      <c r="B324" s="395"/>
      <c r="C324" s="417"/>
      <c r="D324" s="412"/>
      <c r="E324" s="395"/>
      <c r="F324" s="412"/>
      <c r="G324" s="412"/>
      <c r="H324" s="412"/>
      <c r="I324" s="412"/>
      <c r="J324" s="412"/>
      <c r="K324" s="404"/>
      <c r="L324" s="404"/>
      <c r="M324" s="404"/>
      <c r="N324" s="404"/>
      <c r="O324" s="404"/>
      <c r="P324" s="404"/>
      <c r="Q324" s="404"/>
      <c r="R324" s="404"/>
      <c r="S324" s="395"/>
      <c r="T324" s="395"/>
      <c r="U324" s="395"/>
      <c r="V324" s="404"/>
      <c r="W324" s="404"/>
      <c r="X324" s="404"/>
      <c r="Y324" s="404"/>
      <c r="Z324" s="432"/>
      <c r="AA324" s="404"/>
      <c r="AB324" s="404"/>
      <c r="AC324" s="404"/>
    </row>
    <row r="325" spans="1:29" ht="12.75" customHeight="1" x14ac:dyDescent="0.25">
      <c r="A325" s="395"/>
      <c r="B325" s="395"/>
      <c r="C325" s="417"/>
      <c r="D325" s="412"/>
      <c r="E325" s="395"/>
      <c r="F325" s="412"/>
      <c r="G325" s="412"/>
      <c r="H325" s="412"/>
      <c r="I325" s="412"/>
      <c r="J325" s="412"/>
      <c r="K325" s="404"/>
      <c r="L325" s="404"/>
      <c r="M325" s="404"/>
      <c r="N325" s="404"/>
      <c r="O325" s="404"/>
      <c r="P325" s="404"/>
      <c r="Q325" s="404"/>
      <c r="R325" s="404"/>
      <c r="S325" s="395"/>
      <c r="T325" s="395"/>
      <c r="U325" s="395"/>
      <c r="V325" s="404"/>
      <c r="W325" s="404"/>
      <c r="X325" s="404"/>
      <c r="Y325" s="404"/>
      <c r="Z325" s="432"/>
      <c r="AA325" s="404"/>
      <c r="AB325" s="404"/>
      <c r="AC325" s="404"/>
    </row>
    <row r="326" spans="1:29" ht="12.75" customHeight="1" x14ac:dyDescent="0.25">
      <c r="A326" s="395"/>
      <c r="B326" s="395"/>
      <c r="C326" s="417"/>
      <c r="D326" s="412"/>
      <c r="E326" s="395"/>
      <c r="F326" s="412"/>
      <c r="G326" s="412"/>
      <c r="H326" s="412"/>
      <c r="I326" s="412"/>
      <c r="J326" s="412"/>
      <c r="K326" s="404"/>
      <c r="L326" s="404"/>
      <c r="M326" s="404"/>
      <c r="N326" s="404"/>
      <c r="O326" s="404"/>
      <c r="P326" s="404"/>
      <c r="Q326" s="404"/>
      <c r="R326" s="404"/>
      <c r="S326" s="395"/>
      <c r="T326" s="395"/>
      <c r="U326" s="395"/>
      <c r="V326" s="404"/>
      <c r="W326" s="404"/>
      <c r="X326" s="404"/>
      <c r="Y326" s="404"/>
      <c r="Z326" s="432"/>
      <c r="AA326" s="404"/>
      <c r="AB326" s="404"/>
      <c r="AC326" s="404"/>
    </row>
    <row r="327" spans="1:29" ht="12.75" customHeight="1" x14ac:dyDescent="0.25">
      <c r="A327" s="395"/>
      <c r="B327" s="395"/>
      <c r="C327" s="417"/>
      <c r="D327" s="412"/>
      <c r="E327" s="395"/>
      <c r="F327" s="412"/>
      <c r="G327" s="412"/>
      <c r="H327" s="412"/>
      <c r="I327" s="412"/>
      <c r="J327" s="412"/>
      <c r="K327" s="404"/>
      <c r="L327" s="404"/>
      <c r="M327" s="404"/>
      <c r="N327" s="404"/>
      <c r="O327" s="404"/>
      <c r="P327" s="404"/>
      <c r="Q327" s="404"/>
      <c r="R327" s="404"/>
      <c r="S327" s="395"/>
      <c r="T327" s="395"/>
      <c r="U327" s="395"/>
      <c r="V327" s="404"/>
      <c r="W327" s="404"/>
      <c r="X327" s="404"/>
      <c r="Y327" s="404"/>
      <c r="Z327" s="432"/>
      <c r="AA327" s="404"/>
      <c r="AB327" s="404"/>
      <c r="AC327" s="404"/>
    </row>
    <row r="328" spans="1:29" ht="12.75" customHeight="1" x14ac:dyDescent="0.25">
      <c r="A328" s="395"/>
      <c r="B328" s="395"/>
      <c r="C328" s="417"/>
      <c r="D328" s="412"/>
      <c r="E328" s="395"/>
      <c r="F328" s="412"/>
      <c r="G328" s="412"/>
      <c r="H328" s="412"/>
      <c r="I328" s="412"/>
      <c r="J328" s="412"/>
      <c r="K328" s="404"/>
      <c r="L328" s="404"/>
      <c r="M328" s="404"/>
      <c r="N328" s="404"/>
      <c r="O328" s="404"/>
      <c r="P328" s="404"/>
      <c r="Q328" s="404"/>
      <c r="R328" s="404"/>
      <c r="S328" s="395"/>
      <c r="T328" s="395"/>
      <c r="U328" s="395"/>
      <c r="V328" s="404"/>
      <c r="W328" s="404"/>
      <c r="X328" s="404"/>
      <c r="Y328" s="404"/>
      <c r="Z328" s="432"/>
      <c r="AA328" s="404"/>
      <c r="AB328" s="404"/>
      <c r="AC328" s="404"/>
    </row>
    <row r="329" spans="1:29" ht="12.75" customHeight="1" x14ac:dyDescent="0.25">
      <c r="A329" s="395"/>
      <c r="B329" s="395"/>
      <c r="C329" s="417"/>
      <c r="D329" s="412"/>
      <c r="E329" s="395"/>
      <c r="F329" s="412"/>
      <c r="G329" s="412"/>
      <c r="H329" s="412"/>
      <c r="I329" s="412"/>
      <c r="J329" s="412"/>
      <c r="K329" s="404"/>
      <c r="L329" s="404"/>
      <c r="M329" s="404"/>
      <c r="N329" s="404"/>
      <c r="O329" s="404"/>
      <c r="P329" s="404"/>
      <c r="Q329" s="404"/>
      <c r="R329" s="404"/>
      <c r="S329" s="395"/>
      <c r="T329" s="395"/>
      <c r="U329" s="395"/>
      <c r="V329" s="404"/>
      <c r="W329" s="404"/>
      <c r="X329" s="404"/>
      <c r="Y329" s="404"/>
      <c r="Z329" s="432"/>
      <c r="AA329" s="404"/>
      <c r="AB329" s="404"/>
      <c r="AC329" s="404"/>
    </row>
    <row r="330" spans="1:29" ht="12.75" customHeight="1" x14ac:dyDescent="0.25">
      <c r="A330" s="395"/>
      <c r="B330" s="395"/>
      <c r="C330" s="417"/>
      <c r="D330" s="412"/>
      <c r="E330" s="395"/>
      <c r="F330" s="412"/>
      <c r="G330" s="412"/>
      <c r="H330" s="412"/>
      <c r="I330" s="412"/>
      <c r="J330" s="412"/>
      <c r="K330" s="404"/>
      <c r="L330" s="404"/>
      <c r="M330" s="404"/>
      <c r="N330" s="404"/>
      <c r="O330" s="404"/>
      <c r="P330" s="404"/>
      <c r="Q330" s="404"/>
      <c r="R330" s="404"/>
      <c r="S330" s="395"/>
      <c r="T330" s="395"/>
      <c r="U330" s="395"/>
      <c r="V330" s="404"/>
      <c r="W330" s="404"/>
      <c r="X330" s="404"/>
      <c r="Y330" s="404"/>
      <c r="Z330" s="432"/>
      <c r="AA330" s="404"/>
      <c r="AB330" s="404"/>
      <c r="AC330" s="404"/>
    </row>
    <row r="331" spans="1:29" ht="12.75" customHeight="1" x14ac:dyDescent="0.25">
      <c r="A331" s="395"/>
      <c r="B331" s="395"/>
      <c r="C331" s="417"/>
      <c r="D331" s="412"/>
      <c r="E331" s="395"/>
      <c r="F331" s="412"/>
      <c r="G331" s="412"/>
      <c r="H331" s="412"/>
      <c r="I331" s="412"/>
      <c r="J331" s="412"/>
      <c r="K331" s="404"/>
      <c r="L331" s="404"/>
      <c r="M331" s="404"/>
      <c r="N331" s="404"/>
      <c r="O331" s="404"/>
      <c r="P331" s="404"/>
      <c r="Q331" s="404"/>
      <c r="R331" s="404"/>
      <c r="S331" s="395"/>
      <c r="T331" s="395"/>
      <c r="U331" s="395"/>
      <c r="V331" s="404"/>
      <c r="W331" s="404"/>
      <c r="X331" s="404"/>
      <c r="Y331" s="404"/>
      <c r="Z331" s="432"/>
      <c r="AA331" s="404"/>
      <c r="AB331" s="404"/>
      <c r="AC331" s="404"/>
    </row>
    <row r="332" spans="1:29" ht="12.75" customHeight="1" x14ac:dyDescent="0.25">
      <c r="A332" s="395"/>
      <c r="B332" s="395"/>
      <c r="C332" s="417"/>
      <c r="D332" s="412"/>
      <c r="E332" s="395"/>
      <c r="F332" s="412"/>
      <c r="G332" s="412"/>
      <c r="H332" s="412"/>
      <c r="I332" s="412"/>
      <c r="J332" s="412"/>
      <c r="K332" s="404"/>
      <c r="L332" s="404"/>
      <c r="M332" s="404"/>
      <c r="N332" s="404"/>
      <c r="O332" s="404"/>
      <c r="P332" s="404"/>
      <c r="Q332" s="404"/>
      <c r="R332" s="404"/>
      <c r="S332" s="395"/>
      <c r="T332" s="395"/>
      <c r="U332" s="395"/>
      <c r="V332" s="404"/>
      <c r="W332" s="404"/>
      <c r="X332" s="404"/>
      <c r="Y332" s="404"/>
      <c r="Z332" s="432"/>
      <c r="AA332" s="404"/>
      <c r="AB332" s="404"/>
      <c r="AC332" s="404"/>
    </row>
    <row r="333" spans="1:29" ht="12.75" customHeight="1" x14ac:dyDescent="0.25">
      <c r="A333" s="395"/>
      <c r="B333" s="395"/>
      <c r="C333" s="417"/>
      <c r="D333" s="412"/>
      <c r="E333" s="395"/>
      <c r="F333" s="412"/>
      <c r="G333" s="412"/>
      <c r="H333" s="412"/>
      <c r="I333" s="412"/>
      <c r="J333" s="412"/>
      <c r="K333" s="404"/>
      <c r="L333" s="404"/>
      <c r="M333" s="404"/>
      <c r="N333" s="404"/>
      <c r="O333" s="404"/>
      <c r="P333" s="404"/>
      <c r="Q333" s="404"/>
      <c r="R333" s="404"/>
      <c r="S333" s="395"/>
      <c r="T333" s="395"/>
      <c r="U333" s="395"/>
      <c r="V333" s="404"/>
      <c r="W333" s="404"/>
      <c r="X333" s="404"/>
      <c r="Y333" s="404"/>
      <c r="Z333" s="432"/>
      <c r="AA333" s="404"/>
      <c r="AB333" s="404"/>
      <c r="AC333" s="404"/>
    </row>
    <row r="334" spans="1:29" ht="12.75" customHeight="1" x14ac:dyDescent="0.25">
      <c r="A334" s="395"/>
      <c r="B334" s="395"/>
      <c r="C334" s="417"/>
      <c r="D334" s="412"/>
      <c r="E334" s="395"/>
      <c r="F334" s="412"/>
      <c r="G334" s="412"/>
      <c r="H334" s="412"/>
      <c r="I334" s="412"/>
      <c r="J334" s="412"/>
      <c r="K334" s="404"/>
      <c r="L334" s="404"/>
      <c r="M334" s="404"/>
      <c r="N334" s="404"/>
      <c r="O334" s="404"/>
      <c r="P334" s="404"/>
      <c r="Q334" s="404"/>
      <c r="R334" s="404"/>
      <c r="S334" s="395"/>
      <c r="T334" s="395"/>
      <c r="U334" s="395"/>
      <c r="V334" s="404"/>
      <c r="W334" s="404"/>
      <c r="X334" s="404"/>
      <c r="Y334" s="404"/>
      <c r="Z334" s="432"/>
      <c r="AA334" s="404"/>
      <c r="AB334" s="404"/>
      <c r="AC334" s="404"/>
    </row>
    <row r="335" spans="1:29" ht="12.75" customHeight="1" x14ac:dyDescent="0.25">
      <c r="A335" s="395"/>
      <c r="B335" s="395"/>
      <c r="C335" s="417"/>
      <c r="D335" s="412"/>
      <c r="E335" s="395"/>
      <c r="F335" s="412"/>
      <c r="G335" s="412"/>
      <c r="H335" s="412"/>
      <c r="I335" s="412"/>
      <c r="J335" s="412"/>
      <c r="K335" s="404"/>
      <c r="L335" s="404"/>
      <c r="M335" s="404"/>
      <c r="N335" s="404"/>
      <c r="O335" s="404"/>
      <c r="P335" s="404"/>
      <c r="Q335" s="404"/>
      <c r="R335" s="404"/>
      <c r="S335" s="395"/>
      <c r="T335" s="395"/>
      <c r="U335" s="395"/>
      <c r="V335" s="404"/>
      <c r="W335" s="404"/>
      <c r="X335" s="404"/>
      <c r="Y335" s="404"/>
      <c r="Z335" s="432"/>
      <c r="AA335" s="404"/>
      <c r="AB335" s="404"/>
      <c r="AC335" s="404"/>
    </row>
    <row r="336" spans="1:29" ht="12.75" customHeight="1" x14ac:dyDescent="0.25">
      <c r="A336" s="395"/>
      <c r="B336" s="395"/>
      <c r="C336" s="417"/>
      <c r="D336" s="412"/>
      <c r="E336" s="395"/>
      <c r="F336" s="412"/>
      <c r="G336" s="412"/>
      <c r="H336" s="412"/>
      <c r="I336" s="412"/>
      <c r="J336" s="412"/>
      <c r="K336" s="404"/>
      <c r="L336" s="404"/>
      <c r="M336" s="404"/>
      <c r="N336" s="404"/>
      <c r="O336" s="404"/>
      <c r="P336" s="404"/>
      <c r="Q336" s="404"/>
      <c r="R336" s="404"/>
      <c r="S336" s="395"/>
      <c r="T336" s="395"/>
      <c r="U336" s="395"/>
      <c r="V336" s="404"/>
      <c r="W336" s="404"/>
      <c r="X336" s="404"/>
      <c r="Y336" s="404"/>
      <c r="Z336" s="432"/>
      <c r="AA336" s="404"/>
      <c r="AB336" s="404"/>
      <c r="AC336" s="404"/>
    </row>
    <row r="337" spans="1:29" ht="12.75" customHeight="1" x14ac:dyDescent="0.25">
      <c r="A337" s="395"/>
      <c r="B337" s="395"/>
      <c r="C337" s="417"/>
      <c r="D337" s="412"/>
      <c r="E337" s="395"/>
      <c r="F337" s="412"/>
      <c r="G337" s="412"/>
      <c r="H337" s="412"/>
      <c r="I337" s="412"/>
      <c r="J337" s="412"/>
      <c r="K337" s="404"/>
      <c r="L337" s="404"/>
      <c r="M337" s="404"/>
      <c r="N337" s="404"/>
      <c r="O337" s="404"/>
      <c r="P337" s="404"/>
      <c r="Q337" s="404"/>
      <c r="R337" s="404"/>
      <c r="S337" s="395"/>
      <c r="T337" s="395"/>
      <c r="U337" s="395"/>
      <c r="V337" s="404"/>
      <c r="W337" s="404"/>
      <c r="X337" s="404"/>
      <c r="Y337" s="404"/>
      <c r="Z337" s="432"/>
      <c r="AA337" s="404"/>
      <c r="AB337" s="404"/>
      <c r="AC337" s="404"/>
    </row>
    <row r="338" spans="1:29" ht="12.75" customHeight="1" x14ac:dyDescent="0.25">
      <c r="A338" s="395"/>
      <c r="B338" s="395"/>
      <c r="C338" s="417"/>
      <c r="D338" s="412"/>
      <c r="E338" s="395"/>
      <c r="F338" s="412"/>
      <c r="G338" s="412"/>
      <c r="H338" s="412"/>
      <c r="I338" s="412"/>
      <c r="J338" s="412"/>
      <c r="K338" s="404"/>
      <c r="L338" s="404"/>
      <c r="M338" s="404"/>
      <c r="N338" s="404"/>
      <c r="O338" s="404"/>
      <c r="P338" s="404"/>
      <c r="Q338" s="404"/>
      <c r="R338" s="404"/>
      <c r="S338" s="395"/>
      <c r="T338" s="395"/>
      <c r="U338" s="395"/>
      <c r="V338" s="404"/>
      <c r="W338" s="404"/>
      <c r="X338" s="404"/>
      <c r="Y338" s="404"/>
      <c r="Z338" s="432"/>
      <c r="AA338" s="404"/>
      <c r="AB338" s="404"/>
      <c r="AC338" s="404"/>
    </row>
    <row r="339" spans="1:29" ht="12.75" customHeight="1" x14ac:dyDescent="0.25">
      <c r="A339" s="395"/>
      <c r="B339" s="395"/>
      <c r="C339" s="417"/>
      <c r="D339" s="412"/>
      <c r="E339" s="395"/>
      <c r="F339" s="412"/>
      <c r="G339" s="412"/>
      <c r="H339" s="412"/>
      <c r="I339" s="412"/>
      <c r="J339" s="412"/>
      <c r="K339" s="404"/>
      <c r="L339" s="404"/>
      <c r="M339" s="404"/>
      <c r="N339" s="404"/>
      <c r="O339" s="404"/>
      <c r="P339" s="404"/>
      <c r="Q339" s="404"/>
      <c r="R339" s="404"/>
      <c r="S339" s="395"/>
      <c r="T339" s="395"/>
      <c r="U339" s="395"/>
      <c r="V339" s="404"/>
      <c r="W339" s="404"/>
      <c r="X339" s="404"/>
      <c r="Y339" s="404"/>
      <c r="Z339" s="432"/>
      <c r="AA339" s="404"/>
      <c r="AB339" s="404"/>
      <c r="AC339" s="404"/>
    </row>
    <row r="340" spans="1:29" ht="12.75" customHeight="1" x14ac:dyDescent="0.25">
      <c r="A340" s="395"/>
      <c r="B340" s="395"/>
      <c r="C340" s="417"/>
      <c r="D340" s="412"/>
      <c r="E340" s="395"/>
      <c r="F340" s="412"/>
      <c r="G340" s="412"/>
      <c r="H340" s="412"/>
      <c r="I340" s="412"/>
      <c r="J340" s="412"/>
      <c r="K340" s="404"/>
      <c r="L340" s="404"/>
      <c r="M340" s="404"/>
      <c r="N340" s="404"/>
      <c r="O340" s="404"/>
      <c r="P340" s="404"/>
      <c r="Q340" s="404"/>
      <c r="R340" s="404"/>
      <c r="S340" s="395"/>
      <c r="T340" s="395"/>
      <c r="U340" s="395"/>
      <c r="V340" s="404"/>
      <c r="W340" s="404"/>
      <c r="X340" s="404"/>
      <c r="Y340" s="404"/>
      <c r="Z340" s="432"/>
      <c r="AA340" s="404"/>
      <c r="AB340" s="404"/>
      <c r="AC340" s="404"/>
    </row>
    <row r="341" spans="1:29" ht="12.75" customHeight="1" x14ac:dyDescent="0.25">
      <c r="A341" s="395"/>
      <c r="B341" s="395"/>
      <c r="C341" s="417"/>
      <c r="D341" s="412"/>
      <c r="E341" s="395"/>
      <c r="F341" s="412"/>
      <c r="G341" s="412"/>
      <c r="H341" s="412"/>
      <c r="I341" s="412"/>
      <c r="J341" s="412"/>
      <c r="K341" s="404"/>
      <c r="L341" s="404"/>
      <c r="M341" s="404"/>
      <c r="N341" s="404"/>
      <c r="O341" s="404"/>
      <c r="P341" s="404"/>
      <c r="Q341" s="404"/>
      <c r="R341" s="404"/>
      <c r="S341" s="395"/>
      <c r="T341" s="395"/>
      <c r="U341" s="395"/>
      <c r="V341" s="404"/>
      <c r="W341" s="404"/>
      <c r="X341" s="404"/>
      <c r="Y341" s="404"/>
      <c r="Z341" s="432"/>
      <c r="AA341" s="404"/>
      <c r="AB341" s="404"/>
      <c r="AC341" s="404"/>
    </row>
    <row r="342" spans="1:29" ht="12.75" customHeight="1" x14ac:dyDescent="0.25">
      <c r="A342" s="395"/>
      <c r="B342" s="395"/>
      <c r="C342" s="417"/>
      <c r="D342" s="412"/>
      <c r="E342" s="395"/>
      <c r="F342" s="412"/>
      <c r="G342" s="412"/>
      <c r="H342" s="412"/>
      <c r="I342" s="412"/>
      <c r="J342" s="412"/>
      <c r="K342" s="404"/>
      <c r="L342" s="404"/>
      <c r="M342" s="404"/>
      <c r="N342" s="404"/>
      <c r="O342" s="404"/>
      <c r="P342" s="404"/>
      <c r="Q342" s="404"/>
      <c r="R342" s="404"/>
      <c r="S342" s="395"/>
      <c r="T342" s="395"/>
      <c r="U342" s="395"/>
      <c r="V342" s="404"/>
      <c r="W342" s="404"/>
      <c r="X342" s="404"/>
      <c r="Y342" s="404"/>
      <c r="Z342" s="432"/>
      <c r="AA342" s="404"/>
      <c r="AB342" s="404"/>
      <c r="AC342" s="404"/>
    </row>
    <row r="343" spans="1:29" ht="12.75" customHeight="1" x14ac:dyDescent="0.25">
      <c r="A343" s="395"/>
      <c r="B343" s="395"/>
      <c r="C343" s="417"/>
      <c r="D343" s="412"/>
      <c r="E343" s="395"/>
      <c r="F343" s="412"/>
      <c r="G343" s="412"/>
      <c r="H343" s="412"/>
      <c r="I343" s="412"/>
      <c r="J343" s="412"/>
      <c r="K343" s="404"/>
      <c r="L343" s="404"/>
      <c r="M343" s="404"/>
      <c r="N343" s="404"/>
      <c r="O343" s="404"/>
      <c r="P343" s="404"/>
      <c r="Q343" s="404"/>
      <c r="R343" s="404"/>
      <c r="S343" s="395"/>
      <c r="T343" s="395"/>
      <c r="U343" s="395"/>
      <c r="V343" s="404"/>
      <c r="W343" s="404"/>
      <c r="X343" s="404"/>
      <c r="Y343" s="404"/>
      <c r="Z343" s="432"/>
      <c r="AA343" s="404"/>
      <c r="AB343" s="404"/>
      <c r="AC343" s="404"/>
    </row>
    <row r="344" spans="1:29" ht="12.75" customHeight="1" x14ac:dyDescent="0.25">
      <c r="A344" s="395"/>
      <c r="B344" s="395"/>
      <c r="C344" s="417"/>
      <c r="D344" s="412"/>
      <c r="E344" s="395"/>
      <c r="F344" s="412"/>
      <c r="G344" s="412"/>
      <c r="H344" s="412"/>
      <c r="I344" s="412"/>
      <c r="J344" s="412"/>
      <c r="K344" s="404"/>
      <c r="L344" s="404"/>
      <c r="M344" s="404"/>
      <c r="N344" s="404"/>
      <c r="O344" s="404"/>
      <c r="P344" s="404"/>
      <c r="Q344" s="404"/>
      <c r="R344" s="404"/>
      <c r="S344" s="395"/>
      <c r="T344" s="395"/>
      <c r="U344" s="395"/>
      <c r="V344" s="404"/>
      <c r="W344" s="404"/>
      <c r="X344" s="404"/>
      <c r="Y344" s="404"/>
      <c r="Z344" s="432"/>
      <c r="AA344" s="404"/>
      <c r="AB344" s="404"/>
      <c r="AC344" s="404"/>
    </row>
    <row r="345" spans="1:29" ht="12.75" customHeight="1" x14ac:dyDescent="0.25">
      <c r="A345" s="395"/>
      <c r="B345" s="395"/>
      <c r="C345" s="417"/>
      <c r="D345" s="412"/>
      <c r="E345" s="395"/>
      <c r="F345" s="412"/>
      <c r="G345" s="412"/>
      <c r="H345" s="412"/>
      <c r="I345" s="412"/>
      <c r="J345" s="412"/>
      <c r="K345" s="404"/>
      <c r="L345" s="404"/>
      <c r="M345" s="404"/>
      <c r="N345" s="404"/>
      <c r="O345" s="404"/>
      <c r="P345" s="404"/>
      <c r="Q345" s="404"/>
      <c r="R345" s="404"/>
      <c r="S345" s="395"/>
      <c r="T345" s="395"/>
      <c r="U345" s="395"/>
      <c r="V345" s="404"/>
      <c r="W345" s="404"/>
      <c r="X345" s="404"/>
      <c r="Y345" s="404"/>
      <c r="Z345" s="432"/>
      <c r="AA345" s="404"/>
      <c r="AB345" s="404"/>
      <c r="AC345" s="404"/>
    </row>
    <row r="346" spans="1:29" ht="12.75" customHeight="1" x14ac:dyDescent="0.25">
      <c r="A346" s="395"/>
      <c r="B346" s="395"/>
      <c r="C346" s="417"/>
      <c r="D346" s="412"/>
      <c r="E346" s="395"/>
      <c r="F346" s="412"/>
      <c r="G346" s="412"/>
      <c r="H346" s="412"/>
      <c r="I346" s="412"/>
      <c r="J346" s="412"/>
      <c r="K346" s="404"/>
      <c r="L346" s="404"/>
      <c r="M346" s="404"/>
      <c r="N346" s="404"/>
      <c r="O346" s="404"/>
      <c r="P346" s="404"/>
      <c r="Q346" s="404"/>
      <c r="R346" s="404"/>
      <c r="S346" s="395"/>
      <c r="T346" s="395"/>
      <c r="U346" s="395"/>
      <c r="V346" s="404"/>
      <c r="W346" s="404"/>
      <c r="X346" s="404"/>
      <c r="Y346" s="404"/>
      <c r="Z346" s="432"/>
      <c r="AA346" s="404"/>
      <c r="AB346" s="404"/>
      <c r="AC346" s="404"/>
    </row>
    <row r="347" spans="1:29" ht="12.75" customHeight="1" x14ac:dyDescent="0.25">
      <c r="A347" s="395"/>
      <c r="B347" s="395"/>
      <c r="C347" s="417"/>
      <c r="D347" s="412"/>
      <c r="E347" s="395"/>
      <c r="F347" s="412"/>
      <c r="G347" s="412"/>
      <c r="H347" s="412"/>
      <c r="I347" s="412"/>
      <c r="J347" s="412"/>
      <c r="K347" s="404"/>
      <c r="L347" s="404"/>
      <c r="M347" s="404"/>
      <c r="N347" s="404"/>
      <c r="O347" s="404"/>
      <c r="P347" s="404"/>
      <c r="Q347" s="404"/>
      <c r="R347" s="404"/>
      <c r="S347" s="395"/>
      <c r="T347" s="395"/>
      <c r="U347" s="395"/>
      <c r="V347" s="404"/>
      <c r="W347" s="404"/>
      <c r="X347" s="404"/>
      <c r="Y347" s="404"/>
      <c r="Z347" s="432"/>
      <c r="AA347" s="404"/>
      <c r="AB347" s="404"/>
      <c r="AC347" s="404"/>
    </row>
    <row r="348" spans="1:29" ht="12.75" customHeight="1" x14ac:dyDescent="0.25">
      <c r="A348" s="395"/>
      <c r="B348" s="395"/>
      <c r="C348" s="417"/>
      <c r="D348" s="412"/>
      <c r="E348" s="395"/>
      <c r="F348" s="412"/>
      <c r="G348" s="412"/>
      <c r="H348" s="412"/>
      <c r="I348" s="412"/>
      <c r="J348" s="412"/>
      <c r="K348" s="404"/>
      <c r="L348" s="404"/>
      <c r="M348" s="404"/>
      <c r="N348" s="404"/>
      <c r="O348" s="404"/>
      <c r="P348" s="404"/>
      <c r="Q348" s="404"/>
      <c r="R348" s="404"/>
      <c r="S348" s="395"/>
      <c r="T348" s="395"/>
      <c r="U348" s="395"/>
      <c r="V348" s="404"/>
      <c r="W348" s="404"/>
      <c r="X348" s="404"/>
      <c r="Y348" s="404"/>
      <c r="Z348" s="432"/>
      <c r="AA348" s="404"/>
      <c r="AB348" s="404"/>
      <c r="AC348" s="404"/>
    </row>
    <row r="349" spans="1:29" ht="12.75" customHeight="1" x14ac:dyDescent="0.25">
      <c r="A349" s="395"/>
      <c r="B349" s="395"/>
      <c r="C349" s="417"/>
      <c r="D349" s="412"/>
      <c r="E349" s="395"/>
      <c r="F349" s="412"/>
      <c r="G349" s="412"/>
      <c r="H349" s="412"/>
      <c r="I349" s="412"/>
      <c r="J349" s="412"/>
      <c r="K349" s="404"/>
      <c r="L349" s="404"/>
      <c r="M349" s="404"/>
      <c r="N349" s="404"/>
      <c r="O349" s="404"/>
      <c r="P349" s="404"/>
      <c r="Q349" s="404"/>
      <c r="R349" s="404"/>
      <c r="S349" s="395"/>
      <c r="T349" s="395"/>
      <c r="U349" s="395"/>
      <c r="V349" s="404"/>
      <c r="W349" s="404"/>
      <c r="X349" s="404"/>
      <c r="Y349" s="404"/>
      <c r="Z349" s="432"/>
      <c r="AA349" s="404"/>
      <c r="AB349" s="404"/>
      <c r="AC349" s="404"/>
    </row>
    <row r="350" spans="1:29" ht="12.75" customHeight="1" x14ac:dyDescent="0.25">
      <c r="A350" s="395"/>
      <c r="B350" s="395"/>
      <c r="C350" s="417"/>
      <c r="D350" s="412"/>
      <c r="E350" s="395"/>
      <c r="F350" s="412"/>
      <c r="G350" s="412"/>
      <c r="H350" s="412"/>
      <c r="I350" s="412"/>
      <c r="J350" s="412"/>
      <c r="K350" s="404"/>
      <c r="L350" s="404"/>
      <c r="M350" s="404"/>
      <c r="N350" s="404"/>
      <c r="O350" s="404"/>
      <c r="P350" s="404"/>
      <c r="Q350" s="404"/>
      <c r="R350" s="404"/>
      <c r="S350" s="395"/>
      <c r="T350" s="395"/>
      <c r="U350" s="395"/>
      <c r="V350" s="404"/>
      <c r="W350" s="404"/>
      <c r="X350" s="404"/>
      <c r="Y350" s="404"/>
      <c r="Z350" s="432"/>
      <c r="AA350" s="404"/>
      <c r="AB350" s="404"/>
      <c r="AC350" s="404"/>
    </row>
    <row r="351" spans="1:29" ht="12.75" customHeight="1" x14ac:dyDescent="0.25">
      <c r="A351" s="395"/>
      <c r="B351" s="395"/>
      <c r="C351" s="417"/>
      <c r="D351" s="412"/>
      <c r="E351" s="395"/>
      <c r="F351" s="412"/>
      <c r="G351" s="412"/>
      <c r="H351" s="412"/>
      <c r="I351" s="412"/>
      <c r="J351" s="412"/>
      <c r="K351" s="404"/>
      <c r="L351" s="404"/>
      <c r="M351" s="404"/>
      <c r="N351" s="404"/>
      <c r="O351" s="404"/>
      <c r="P351" s="404"/>
      <c r="Q351" s="404"/>
      <c r="R351" s="404"/>
      <c r="S351" s="395"/>
      <c r="T351" s="395"/>
      <c r="U351" s="395"/>
      <c r="V351" s="404"/>
      <c r="W351" s="404"/>
      <c r="X351" s="404"/>
      <c r="Y351" s="404"/>
      <c r="Z351" s="432"/>
      <c r="AA351" s="404"/>
      <c r="AB351" s="404"/>
      <c r="AC351" s="404"/>
    </row>
    <row r="352" spans="1:29" ht="12.75" customHeight="1" x14ac:dyDescent="0.25">
      <c r="A352" s="395"/>
      <c r="B352" s="395"/>
      <c r="C352" s="417"/>
      <c r="D352" s="412"/>
      <c r="E352" s="395"/>
      <c r="F352" s="412"/>
      <c r="G352" s="412"/>
      <c r="H352" s="412"/>
      <c r="I352" s="412"/>
      <c r="J352" s="412"/>
      <c r="K352" s="404"/>
      <c r="L352" s="404"/>
      <c r="M352" s="404"/>
      <c r="N352" s="404"/>
      <c r="O352" s="404"/>
      <c r="P352" s="404"/>
      <c r="Q352" s="404"/>
      <c r="R352" s="404"/>
      <c r="S352" s="395"/>
      <c r="T352" s="395"/>
      <c r="U352" s="395"/>
      <c r="V352" s="404"/>
      <c r="W352" s="404"/>
      <c r="X352" s="404"/>
      <c r="Y352" s="404"/>
      <c r="Z352" s="432"/>
      <c r="AA352" s="404"/>
      <c r="AB352" s="404"/>
      <c r="AC352" s="404"/>
    </row>
    <row r="353" spans="1:29" ht="12.75" customHeight="1" x14ac:dyDescent="0.25">
      <c r="A353" s="395"/>
      <c r="B353" s="395"/>
      <c r="C353" s="417"/>
      <c r="D353" s="412"/>
      <c r="E353" s="395"/>
      <c r="F353" s="412"/>
      <c r="G353" s="412"/>
      <c r="H353" s="412"/>
      <c r="I353" s="412"/>
      <c r="J353" s="412"/>
      <c r="K353" s="404"/>
      <c r="L353" s="404"/>
      <c r="M353" s="404"/>
      <c r="N353" s="404"/>
      <c r="O353" s="404"/>
      <c r="P353" s="404"/>
      <c r="Q353" s="404"/>
      <c r="R353" s="404"/>
      <c r="S353" s="395"/>
      <c r="T353" s="395"/>
      <c r="U353" s="395"/>
      <c r="V353" s="404"/>
      <c r="W353" s="404"/>
      <c r="X353" s="404"/>
      <c r="Y353" s="404"/>
      <c r="Z353" s="432"/>
      <c r="AA353" s="404"/>
      <c r="AB353" s="404"/>
      <c r="AC353" s="404"/>
    </row>
    <row r="354" spans="1:29" ht="12.75" customHeight="1" x14ac:dyDescent="0.25">
      <c r="A354" s="395"/>
      <c r="B354" s="395"/>
      <c r="C354" s="417"/>
      <c r="D354" s="412"/>
      <c r="E354" s="395"/>
      <c r="F354" s="412"/>
      <c r="G354" s="412"/>
      <c r="H354" s="412"/>
      <c r="I354" s="412"/>
      <c r="J354" s="412"/>
      <c r="K354" s="404"/>
      <c r="L354" s="404"/>
      <c r="M354" s="404"/>
      <c r="N354" s="404"/>
      <c r="O354" s="404"/>
      <c r="P354" s="404"/>
      <c r="Q354" s="404"/>
      <c r="R354" s="404"/>
      <c r="S354" s="395"/>
      <c r="T354" s="395"/>
      <c r="U354" s="395"/>
      <c r="V354" s="404"/>
      <c r="W354" s="404"/>
      <c r="X354" s="404"/>
      <c r="Y354" s="404"/>
      <c r="Z354" s="432"/>
      <c r="AA354" s="404"/>
      <c r="AB354" s="404"/>
      <c r="AC354" s="404"/>
    </row>
    <row r="355" spans="1:29" ht="12.75" customHeight="1" x14ac:dyDescent="0.25">
      <c r="A355" s="395"/>
      <c r="B355" s="395"/>
      <c r="C355" s="417"/>
      <c r="D355" s="412"/>
      <c r="E355" s="395"/>
      <c r="F355" s="412"/>
      <c r="G355" s="412"/>
      <c r="H355" s="412"/>
      <c r="I355" s="412"/>
      <c r="J355" s="412"/>
      <c r="K355" s="404"/>
      <c r="L355" s="404"/>
      <c r="M355" s="404"/>
      <c r="N355" s="404"/>
      <c r="O355" s="404"/>
      <c r="P355" s="404"/>
      <c r="Q355" s="404"/>
      <c r="R355" s="404"/>
      <c r="S355" s="395"/>
      <c r="T355" s="395"/>
      <c r="U355" s="395"/>
      <c r="V355" s="404"/>
      <c r="W355" s="404"/>
      <c r="X355" s="404"/>
      <c r="Y355" s="404"/>
      <c r="Z355" s="432"/>
      <c r="AA355" s="404"/>
      <c r="AB355" s="404"/>
      <c r="AC355" s="404"/>
    </row>
    <row r="356" spans="1:29" ht="12.75" customHeight="1" x14ac:dyDescent="0.25">
      <c r="A356" s="395"/>
      <c r="B356" s="395"/>
      <c r="C356" s="417"/>
      <c r="D356" s="412"/>
      <c r="E356" s="395"/>
      <c r="F356" s="412"/>
      <c r="G356" s="412"/>
      <c r="H356" s="412"/>
      <c r="I356" s="412"/>
      <c r="J356" s="412"/>
      <c r="K356" s="404"/>
      <c r="L356" s="404"/>
      <c r="M356" s="404"/>
      <c r="N356" s="404"/>
      <c r="O356" s="404"/>
      <c r="P356" s="404"/>
      <c r="Q356" s="404"/>
      <c r="R356" s="404"/>
      <c r="S356" s="395"/>
      <c r="T356" s="395"/>
      <c r="U356" s="395"/>
      <c r="V356" s="404"/>
      <c r="W356" s="404"/>
      <c r="X356" s="404"/>
      <c r="Y356" s="404"/>
      <c r="Z356" s="432"/>
      <c r="AA356" s="404"/>
      <c r="AB356" s="404"/>
      <c r="AC356" s="404"/>
    </row>
    <row r="357" spans="1:29" ht="12.75" customHeight="1" x14ac:dyDescent="0.25">
      <c r="A357" s="395"/>
      <c r="B357" s="395"/>
      <c r="C357" s="417"/>
      <c r="D357" s="412"/>
      <c r="E357" s="395"/>
      <c r="F357" s="412"/>
      <c r="G357" s="412"/>
      <c r="H357" s="412"/>
      <c r="I357" s="412"/>
      <c r="J357" s="412"/>
      <c r="K357" s="404"/>
      <c r="L357" s="404"/>
      <c r="M357" s="404"/>
      <c r="N357" s="404"/>
      <c r="O357" s="404"/>
      <c r="P357" s="404"/>
      <c r="Q357" s="404"/>
      <c r="R357" s="404"/>
      <c r="S357" s="395"/>
      <c r="T357" s="395"/>
      <c r="U357" s="395"/>
      <c r="V357" s="404"/>
      <c r="W357" s="404"/>
      <c r="X357" s="404"/>
      <c r="Y357" s="404"/>
      <c r="Z357" s="432"/>
      <c r="AA357" s="404"/>
      <c r="AB357" s="404"/>
      <c r="AC357" s="404"/>
    </row>
    <row r="358" spans="1:29" ht="12.75" customHeight="1" x14ac:dyDescent="0.25">
      <c r="A358" s="395"/>
      <c r="B358" s="395"/>
      <c r="C358" s="417"/>
      <c r="D358" s="412"/>
      <c r="E358" s="395"/>
      <c r="F358" s="412"/>
      <c r="G358" s="412"/>
      <c r="H358" s="412"/>
      <c r="I358" s="412"/>
      <c r="J358" s="412"/>
      <c r="K358" s="404"/>
      <c r="L358" s="404"/>
      <c r="M358" s="404"/>
      <c r="N358" s="404"/>
      <c r="O358" s="404"/>
      <c r="P358" s="404"/>
      <c r="Q358" s="404"/>
      <c r="R358" s="404"/>
      <c r="S358" s="395"/>
      <c r="T358" s="395"/>
      <c r="U358" s="395"/>
      <c r="V358" s="404"/>
      <c r="W358" s="404"/>
      <c r="X358" s="404"/>
      <c r="Y358" s="404"/>
      <c r="Z358" s="432"/>
      <c r="AA358" s="404"/>
      <c r="AB358" s="404"/>
      <c r="AC358" s="404"/>
    </row>
    <row r="359" spans="1:29" ht="12.75" customHeight="1" x14ac:dyDescent="0.25">
      <c r="A359" s="395"/>
      <c r="B359" s="395"/>
      <c r="C359" s="417"/>
      <c r="D359" s="412"/>
      <c r="E359" s="395"/>
      <c r="F359" s="412"/>
      <c r="G359" s="412"/>
      <c r="H359" s="412"/>
      <c r="I359" s="412"/>
      <c r="J359" s="412"/>
      <c r="K359" s="404"/>
      <c r="L359" s="404"/>
      <c r="M359" s="404"/>
      <c r="N359" s="404"/>
      <c r="O359" s="404"/>
      <c r="P359" s="404"/>
      <c r="Q359" s="404"/>
      <c r="R359" s="404"/>
      <c r="S359" s="395"/>
      <c r="T359" s="395"/>
      <c r="U359" s="395"/>
      <c r="V359" s="404"/>
      <c r="W359" s="404"/>
      <c r="X359" s="404"/>
      <c r="Y359" s="404"/>
      <c r="Z359" s="432"/>
      <c r="AA359" s="404"/>
      <c r="AB359" s="404"/>
      <c r="AC359" s="404"/>
    </row>
    <row r="360" spans="1:29" ht="12.75" customHeight="1" x14ac:dyDescent="0.25">
      <c r="A360" s="395"/>
      <c r="B360" s="395"/>
      <c r="C360" s="417"/>
      <c r="D360" s="412"/>
      <c r="E360" s="395"/>
      <c r="F360" s="412"/>
      <c r="G360" s="412"/>
      <c r="H360" s="412"/>
      <c r="I360" s="412"/>
      <c r="J360" s="412"/>
      <c r="K360" s="404"/>
      <c r="L360" s="404"/>
      <c r="M360" s="404"/>
      <c r="N360" s="404"/>
      <c r="O360" s="404"/>
      <c r="P360" s="404"/>
      <c r="Q360" s="404"/>
      <c r="R360" s="404"/>
      <c r="S360" s="395"/>
      <c r="T360" s="395"/>
      <c r="U360" s="395"/>
      <c r="V360" s="404"/>
      <c r="W360" s="404"/>
      <c r="X360" s="404"/>
      <c r="Y360" s="404"/>
      <c r="Z360" s="432"/>
      <c r="AA360" s="404"/>
      <c r="AB360" s="404"/>
      <c r="AC360" s="404"/>
    </row>
    <row r="361" spans="1:29" ht="12.75" customHeight="1" x14ac:dyDescent="0.25">
      <c r="A361" s="395"/>
      <c r="B361" s="395"/>
      <c r="C361" s="417"/>
      <c r="D361" s="412"/>
      <c r="E361" s="395"/>
      <c r="F361" s="412"/>
      <c r="G361" s="412"/>
      <c r="H361" s="412"/>
      <c r="I361" s="412"/>
      <c r="J361" s="412"/>
      <c r="K361" s="404"/>
      <c r="L361" s="404"/>
      <c r="M361" s="404"/>
      <c r="N361" s="404"/>
      <c r="O361" s="404"/>
      <c r="P361" s="404"/>
      <c r="Q361" s="404"/>
      <c r="R361" s="404"/>
      <c r="S361" s="395"/>
      <c r="T361" s="395"/>
      <c r="U361" s="395"/>
      <c r="V361" s="404"/>
      <c r="W361" s="404"/>
      <c r="X361" s="404"/>
      <c r="Y361" s="404"/>
      <c r="Z361" s="432"/>
      <c r="AA361" s="404"/>
      <c r="AB361" s="404"/>
      <c r="AC361" s="404"/>
    </row>
    <row r="362" spans="1:29" ht="12.75" customHeight="1" x14ac:dyDescent="0.25">
      <c r="A362" s="395"/>
      <c r="B362" s="395"/>
      <c r="C362" s="417"/>
      <c r="D362" s="412"/>
      <c r="E362" s="395"/>
      <c r="F362" s="412"/>
      <c r="G362" s="412"/>
      <c r="H362" s="412"/>
      <c r="I362" s="412"/>
      <c r="J362" s="412"/>
      <c r="K362" s="404"/>
      <c r="L362" s="404"/>
      <c r="M362" s="404"/>
      <c r="N362" s="404"/>
      <c r="O362" s="404"/>
      <c r="P362" s="404"/>
      <c r="Q362" s="404"/>
      <c r="R362" s="404"/>
      <c r="S362" s="395"/>
      <c r="T362" s="395"/>
      <c r="U362" s="395"/>
      <c r="V362" s="404"/>
      <c r="W362" s="404"/>
      <c r="X362" s="404"/>
      <c r="Y362" s="404"/>
      <c r="Z362" s="432"/>
      <c r="AA362" s="404"/>
      <c r="AB362" s="404"/>
      <c r="AC362" s="404"/>
    </row>
    <row r="363" spans="1:29" ht="12.75" customHeight="1" x14ac:dyDescent="0.25">
      <c r="A363" s="395"/>
      <c r="B363" s="395"/>
      <c r="C363" s="417"/>
      <c r="D363" s="412"/>
      <c r="E363" s="395"/>
      <c r="F363" s="412"/>
      <c r="G363" s="412"/>
      <c r="H363" s="412"/>
      <c r="I363" s="412"/>
      <c r="J363" s="412"/>
      <c r="K363" s="404"/>
      <c r="L363" s="404"/>
      <c r="M363" s="404"/>
      <c r="N363" s="404"/>
      <c r="O363" s="404"/>
      <c r="P363" s="404"/>
      <c r="Q363" s="404"/>
      <c r="R363" s="404"/>
      <c r="S363" s="395"/>
      <c r="T363" s="395"/>
      <c r="U363" s="395"/>
      <c r="V363" s="404"/>
      <c r="W363" s="404"/>
      <c r="X363" s="404"/>
      <c r="Y363" s="404"/>
      <c r="Z363" s="432"/>
      <c r="AA363" s="404"/>
      <c r="AB363" s="404"/>
      <c r="AC363" s="404"/>
    </row>
    <row r="364" spans="1:29" ht="12.75" customHeight="1" x14ac:dyDescent="0.25">
      <c r="A364" s="395"/>
      <c r="B364" s="395"/>
      <c r="C364" s="417"/>
      <c r="D364" s="412"/>
      <c r="E364" s="395"/>
      <c r="F364" s="412"/>
      <c r="G364" s="412"/>
      <c r="H364" s="412"/>
      <c r="I364" s="412"/>
      <c r="J364" s="412"/>
      <c r="K364" s="404"/>
      <c r="L364" s="404"/>
      <c r="M364" s="404"/>
      <c r="N364" s="404"/>
      <c r="O364" s="404"/>
      <c r="P364" s="404"/>
      <c r="Q364" s="404"/>
      <c r="R364" s="404"/>
      <c r="S364" s="395"/>
      <c r="T364" s="395"/>
      <c r="U364" s="395"/>
      <c r="V364" s="404"/>
      <c r="W364" s="404"/>
      <c r="X364" s="404"/>
      <c r="Y364" s="404"/>
      <c r="Z364" s="432"/>
      <c r="AA364" s="404"/>
      <c r="AB364" s="404"/>
      <c r="AC364" s="404"/>
    </row>
    <row r="365" spans="1:29" ht="12.75" customHeight="1" x14ac:dyDescent="0.25">
      <c r="A365" s="395"/>
      <c r="B365" s="395"/>
      <c r="C365" s="417"/>
      <c r="D365" s="412"/>
      <c r="E365" s="395"/>
      <c r="F365" s="412"/>
      <c r="G365" s="412"/>
      <c r="H365" s="412"/>
      <c r="I365" s="412"/>
      <c r="J365" s="412"/>
      <c r="K365" s="404"/>
      <c r="L365" s="404"/>
      <c r="M365" s="404"/>
      <c r="N365" s="404"/>
      <c r="O365" s="404"/>
      <c r="P365" s="404"/>
      <c r="Q365" s="404"/>
      <c r="R365" s="404"/>
      <c r="S365" s="395"/>
      <c r="T365" s="395"/>
      <c r="U365" s="395"/>
      <c r="V365" s="404"/>
      <c r="W365" s="404"/>
      <c r="X365" s="404"/>
      <c r="Y365" s="404"/>
      <c r="Z365" s="432"/>
      <c r="AA365" s="404"/>
      <c r="AB365" s="404"/>
      <c r="AC365" s="404"/>
    </row>
    <row r="366" spans="1:29" ht="12.75" customHeight="1" x14ac:dyDescent="0.25">
      <c r="A366" s="395"/>
      <c r="B366" s="395"/>
      <c r="C366" s="417"/>
      <c r="D366" s="412"/>
      <c r="E366" s="395"/>
      <c r="F366" s="412"/>
      <c r="G366" s="412"/>
      <c r="H366" s="412"/>
      <c r="I366" s="412"/>
      <c r="J366" s="412"/>
      <c r="K366" s="404"/>
      <c r="L366" s="404"/>
      <c r="M366" s="404"/>
      <c r="N366" s="404"/>
      <c r="O366" s="404"/>
      <c r="P366" s="404"/>
      <c r="Q366" s="404"/>
      <c r="R366" s="404"/>
      <c r="S366" s="395"/>
      <c r="T366" s="395"/>
      <c r="U366" s="395"/>
      <c r="V366" s="404"/>
      <c r="W366" s="404"/>
      <c r="X366" s="404"/>
      <c r="Y366" s="404"/>
      <c r="Z366" s="432"/>
      <c r="AA366" s="404"/>
      <c r="AB366" s="404"/>
      <c r="AC366" s="404"/>
    </row>
    <row r="367" spans="1:29" ht="12.75" customHeight="1" x14ac:dyDescent="0.25">
      <c r="A367" s="395"/>
      <c r="B367" s="395"/>
      <c r="C367" s="417"/>
      <c r="D367" s="412"/>
      <c r="E367" s="395"/>
      <c r="F367" s="412"/>
      <c r="G367" s="412"/>
      <c r="H367" s="412"/>
      <c r="I367" s="412"/>
      <c r="J367" s="412"/>
      <c r="K367" s="404"/>
      <c r="L367" s="404"/>
      <c r="M367" s="404"/>
      <c r="N367" s="404"/>
      <c r="O367" s="404"/>
      <c r="P367" s="404"/>
      <c r="Q367" s="404"/>
      <c r="R367" s="404"/>
      <c r="S367" s="395"/>
      <c r="T367" s="395"/>
      <c r="U367" s="395"/>
      <c r="V367" s="404"/>
      <c r="W367" s="404"/>
      <c r="X367" s="404"/>
      <c r="Y367" s="404"/>
      <c r="Z367" s="432"/>
      <c r="AA367" s="404"/>
      <c r="AB367" s="404"/>
      <c r="AC367" s="404"/>
    </row>
    <row r="368" spans="1:29" ht="12.75" customHeight="1" x14ac:dyDescent="0.25">
      <c r="A368" s="395"/>
      <c r="B368" s="395"/>
      <c r="C368" s="417"/>
      <c r="D368" s="412"/>
      <c r="E368" s="395"/>
      <c r="F368" s="412"/>
      <c r="G368" s="412"/>
      <c r="H368" s="412"/>
      <c r="I368" s="412"/>
      <c r="J368" s="412"/>
      <c r="K368" s="404"/>
      <c r="L368" s="404"/>
      <c r="M368" s="404"/>
      <c r="N368" s="404"/>
      <c r="O368" s="404"/>
      <c r="P368" s="404"/>
      <c r="Q368" s="404"/>
      <c r="R368" s="404"/>
      <c r="S368" s="395"/>
      <c r="T368" s="395"/>
      <c r="U368" s="395"/>
      <c r="V368" s="404"/>
      <c r="W368" s="404"/>
      <c r="X368" s="404"/>
      <c r="Y368" s="404"/>
      <c r="Z368" s="432"/>
      <c r="AA368" s="404"/>
      <c r="AB368" s="404"/>
      <c r="AC368" s="404"/>
    </row>
    <row r="369" spans="1:29" ht="12.75" customHeight="1" x14ac:dyDescent="0.25">
      <c r="A369" s="395"/>
      <c r="B369" s="395"/>
      <c r="C369" s="417"/>
      <c r="D369" s="412"/>
      <c r="E369" s="395"/>
      <c r="F369" s="412"/>
      <c r="G369" s="412"/>
      <c r="H369" s="412"/>
      <c r="I369" s="412"/>
      <c r="J369" s="412"/>
      <c r="K369" s="404"/>
      <c r="L369" s="404"/>
      <c r="M369" s="404"/>
      <c r="N369" s="404"/>
      <c r="O369" s="404"/>
      <c r="P369" s="404"/>
      <c r="Q369" s="404"/>
      <c r="R369" s="404"/>
      <c r="S369" s="395"/>
      <c r="T369" s="395"/>
      <c r="U369" s="395"/>
      <c r="V369" s="404"/>
      <c r="W369" s="404"/>
      <c r="X369" s="404"/>
      <c r="Y369" s="404"/>
      <c r="Z369" s="432"/>
      <c r="AA369" s="404"/>
      <c r="AB369" s="404"/>
      <c r="AC369" s="404"/>
    </row>
    <row r="370" spans="1:29" ht="12.75" customHeight="1" x14ac:dyDescent="0.25">
      <c r="A370" s="395"/>
      <c r="B370" s="395"/>
      <c r="C370" s="417"/>
      <c r="D370" s="412"/>
      <c r="E370" s="395"/>
      <c r="F370" s="412"/>
      <c r="G370" s="412"/>
      <c r="H370" s="412"/>
      <c r="I370" s="412"/>
      <c r="J370" s="412"/>
      <c r="K370" s="404"/>
      <c r="L370" s="404"/>
      <c r="M370" s="404"/>
      <c r="N370" s="404"/>
      <c r="O370" s="404"/>
      <c r="P370" s="404"/>
      <c r="Q370" s="404"/>
      <c r="R370" s="404"/>
      <c r="S370" s="395"/>
      <c r="T370" s="395"/>
      <c r="U370" s="395"/>
      <c r="V370" s="404"/>
      <c r="W370" s="404"/>
      <c r="X370" s="404"/>
      <c r="Y370" s="404"/>
      <c r="Z370" s="432"/>
      <c r="AA370" s="404"/>
      <c r="AB370" s="404"/>
      <c r="AC370" s="404"/>
    </row>
    <row r="371" spans="1:29" ht="12.75" customHeight="1" x14ac:dyDescent="0.25">
      <c r="A371" s="395"/>
      <c r="B371" s="395"/>
      <c r="C371" s="417"/>
      <c r="D371" s="412"/>
      <c r="E371" s="395"/>
      <c r="F371" s="412"/>
      <c r="G371" s="412"/>
      <c r="H371" s="412"/>
      <c r="I371" s="412"/>
      <c r="J371" s="412"/>
      <c r="K371" s="404"/>
      <c r="L371" s="404"/>
      <c r="M371" s="404"/>
      <c r="N371" s="404"/>
      <c r="O371" s="404"/>
      <c r="P371" s="404"/>
      <c r="Q371" s="404"/>
      <c r="R371" s="404"/>
      <c r="S371" s="395"/>
      <c r="T371" s="395"/>
      <c r="U371" s="395"/>
      <c r="V371" s="404"/>
      <c r="W371" s="404"/>
      <c r="X371" s="404"/>
      <c r="Y371" s="404"/>
      <c r="Z371" s="432"/>
      <c r="AA371" s="404"/>
      <c r="AB371" s="404"/>
      <c r="AC371" s="404"/>
    </row>
    <row r="372" spans="1:29" ht="12.75" customHeight="1" x14ac:dyDescent="0.25">
      <c r="A372" s="395"/>
      <c r="B372" s="395"/>
      <c r="C372" s="417"/>
      <c r="D372" s="412"/>
      <c r="E372" s="395"/>
      <c r="F372" s="412"/>
      <c r="G372" s="412"/>
      <c r="H372" s="412"/>
      <c r="I372" s="412"/>
      <c r="J372" s="412"/>
      <c r="K372" s="404"/>
      <c r="L372" s="404"/>
      <c r="M372" s="404"/>
      <c r="N372" s="404"/>
      <c r="O372" s="404"/>
      <c r="P372" s="404"/>
      <c r="Q372" s="404"/>
      <c r="R372" s="404"/>
      <c r="S372" s="395"/>
      <c r="T372" s="395"/>
      <c r="U372" s="395"/>
      <c r="V372" s="404"/>
      <c r="W372" s="404"/>
      <c r="X372" s="404"/>
      <c r="Y372" s="404"/>
      <c r="Z372" s="432"/>
      <c r="AA372" s="404"/>
      <c r="AB372" s="404"/>
      <c r="AC372" s="404"/>
    </row>
    <row r="373" spans="1:29" ht="12.75" customHeight="1" x14ac:dyDescent="0.25">
      <c r="A373" s="395"/>
      <c r="B373" s="395"/>
      <c r="C373" s="417"/>
      <c r="D373" s="412"/>
      <c r="E373" s="395"/>
      <c r="F373" s="412"/>
      <c r="G373" s="412"/>
      <c r="H373" s="412"/>
      <c r="I373" s="412"/>
      <c r="J373" s="412"/>
      <c r="K373" s="404"/>
      <c r="L373" s="404"/>
      <c r="M373" s="404"/>
      <c r="N373" s="404"/>
      <c r="O373" s="404"/>
      <c r="P373" s="404"/>
      <c r="Q373" s="404"/>
      <c r="R373" s="404"/>
      <c r="S373" s="395"/>
      <c r="T373" s="395"/>
      <c r="U373" s="395"/>
      <c r="V373" s="404"/>
      <c r="W373" s="404"/>
      <c r="X373" s="404"/>
      <c r="Y373" s="404"/>
      <c r="Z373" s="432"/>
      <c r="AA373" s="404"/>
      <c r="AB373" s="404"/>
      <c r="AC373" s="404"/>
    </row>
    <row r="374" spans="1:29" ht="12.75" customHeight="1" x14ac:dyDescent="0.25">
      <c r="A374" s="395"/>
      <c r="B374" s="395"/>
      <c r="C374" s="417"/>
      <c r="D374" s="412"/>
      <c r="E374" s="395"/>
      <c r="F374" s="412"/>
      <c r="G374" s="412"/>
      <c r="H374" s="412"/>
      <c r="I374" s="412"/>
      <c r="J374" s="412"/>
      <c r="K374" s="404"/>
      <c r="L374" s="404"/>
      <c r="M374" s="404"/>
      <c r="N374" s="404"/>
      <c r="O374" s="404"/>
      <c r="P374" s="404"/>
      <c r="Q374" s="404"/>
      <c r="R374" s="404"/>
      <c r="S374" s="395"/>
      <c r="T374" s="395"/>
      <c r="U374" s="395"/>
      <c r="V374" s="404"/>
      <c r="W374" s="404"/>
      <c r="X374" s="404"/>
      <c r="Y374" s="404"/>
      <c r="Z374" s="432"/>
      <c r="AA374" s="404"/>
      <c r="AB374" s="404"/>
      <c r="AC374" s="404"/>
    </row>
    <row r="375" spans="1:29" ht="12.75" customHeight="1" x14ac:dyDescent="0.25">
      <c r="A375" s="395"/>
      <c r="B375" s="395"/>
      <c r="C375" s="417"/>
      <c r="D375" s="412"/>
      <c r="E375" s="395"/>
      <c r="F375" s="412"/>
      <c r="G375" s="412"/>
      <c r="H375" s="412"/>
      <c r="I375" s="412"/>
      <c r="J375" s="412"/>
      <c r="K375" s="404"/>
      <c r="L375" s="404"/>
      <c r="M375" s="404"/>
      <c r="N375" s="404"/>
      <c r="O375" s="404"/>
      <c r="P375" s="404"/>
      <c r="Q375" s="404"/>
      <c r="R375" s="404"/>
      <c r="S375" s="395"/>
      <c r="T375" s="395"/>
      <c r="U375" s="395"/>
      <c r="V375" s="404"/>
      <c r="W375" s="404"/>
      <c r="X375" s="404"/>
      <c r="Y375" s="404"/>
      <c r="Z375" s="432"/>
      <c r="AA375" s="404"/>
      <c r="AB375" s="404"/>
      <c r="AC375" s="404"/>
    </row>
    <row r="376" spans="1:29" ht="12.75" customHeight="1" x14ac:dyDescent="0.25">
      <c r="A376" s="395"/>
      <c r="B376" s="395"/>
      <c r="C376" s="417"/>
      <c r="D376" s="412"/>
      <c r="E376" s="395"/>
      <c r="F376" s="412"/>
      <c r="G376" s="412"/>
      <c r="H376" s="412"/>
      <c r="I376" s="412"/>
      <c r="J376" s="412"/>
      <c r="K376" s="404"/>
      <c r="L376" s="404"/>
      <c r="M376" s="404"/>
      <c r="N376" s="404"/>
      <c r="O376" s="404"/>
      <c r="P376" s="404"/>
      <c r="Q376" s="404"/>
      <c r="R376" s="404"/>
      <c r="S376" s="395"/>
      <c r="T376" s="395"/>
      <c r="U376" s="395"/>
      <c r="V376" s="404"/>
      <c r="W376" s="404"/>
      <c r="X376" s="404"/>
      <c r="Y376" s="404"/>
      <c r="Z376" s="432"/>
      <c r="AA376" s="404"/>
      <c r="AB376" s="404"/>
      <c r="AC376" s="404"/>
    </row>
    <row r="377" spans="1:29" ht="12.75" customHeight="1" x14ac:dyDescent="0.25">
      <c r="A377" s="395"/>
      <c r="B377" s="395"/>
      <c r="C377" s="417"/>
      <c r="D377" s="412"/>
      <c r="E377" s="395"/>
      <c r="F377" s="412"/>
      <c r="G377" s="412"/>
      <c r="H377" s="412"/>
      <c r="I377" s="412"/>
      <c r="J377" s="412"/>
      <c r="K377" s="404"/>
      <c r="L377" s="404"/>
      <c r="M377" s="404"/>
      <c r="N377" s="404"/>
      <c r="O377" s="404"/>
      <c r="P377" s="404"/>
      <c r="Q377" s="404"/>
      <c r="R377" s="404"/>
      <c r="S377" s="395"/>
      <c r="T377" s="395"/>
      <c r="U377" s="395"/>
      <c r="V377" s="404"/>
      <c r="W377" s="404"/>
      <c r="X377" s="404"/>
      <c r="Y377" s="404"/>
      <c r="Z377" s="432"/>
      <c r="AA377" s="404"/>
      <c r="AB377" s="404"/>
      <c r="AC377" s="404"/>
    </row>
    <row r="378" spans="1:29" ht="12.75" customHeight="1" x14ac:dyDescent="0.25">
      <c r="A378" s="395"/>
      <c r="B378" s="395"/>
      <c r="C378" s="417"/>
      <c r="D378" s="412"/>
      <c r="E378" s="395"/>
      <c r="F378" s="412"/>
      <c r="G378" s="412"/>
      <c r="H378" s="412"/>
      <c r="I378" s="412"/>
      <c r="J378" s="412"/>
      <c r="K378" s="404"/>
      <c r="L378" s="404"/>
      <c r="M378" s="404"/>
      <c r="N378" s="404"/>
      <c r="O378" s="404"/>
      <c r="P378" s="404"/>
      <c r="Q378" s="404"/>
      <c r="R378" s="404"/>
      <c r="S378" s="395"/>
      <c r="T378" s="395"/>
      <c r="U378" s="395"/>
      <c r="V378" s="404"/>
      <c r="W378" s="404"/>
      <c r="X378" s="404"/>
      <c r="Y378" s="404"/>
      <c r="Z378" s="432"/>
      <c r="AA378" s="404"/>
      <c r="AB378" s="404"/>
      <c r="AC378" s="404"/>
    </row>
    <row r="379" spans="1:29" ht="12.75" customHeight="1" x14ac:dyDescent="0.25">
      <c r="A379" s="395"/>
      <c r="B379" s="395"/>
      <c r="C379" s="417"/>
      <c r="D379" s="412"/>
      <c r="E379" s="395"/>
      <c r="F379" s="412"/>
      <c r="G379" s="412"/>
      <c r="H379" s="412"/>
      <c r="I379" s="412"/>
      <c r="J379" s="412"/>
      <c r="K379" s="404"/>
      <c r="L379" s="404"/>
      <c r="M379" s="404"/>
      <c r="N379" s="404"/>
      <c r="O379" s="404"/>
      <c r="P379" s="404"/>
      <c r="Q379" s="404"/>
      <c r="R379" s="404"/>
      <c r="S379" s="395"/>
      <c r="T379" s="395"/>
      <c r="U379" s="395"/>
      <c r="V379" s="404"/>
      <c r="W379" s="404"/>
      <c r="X379" s="404"/>
      <c r="Y379" s="404"/>
      <c r="Z379" s="432"/>
      <c r="AA379" s="404"/>
      <c r="AB379" s="404"/>
      <c r="AC379" s="404"/>
    </row>
    <row r="380" spans="1:29" ht="12.75" customHeight="1" x14ac:dyDescent="0.25">
      <c r="A380" s="395"/>
      <c r="B380" s="395"/>
      <c r="C380" s="417"/>
      <c r="D380" s="412"/>
      <c r="E380" s="395"/>
      <c r="F380" s="412"/>
      <c r="G380" s="412"/>
      <c r="H380" s="412"/>
      <c r="I380" s="412"/>
      <c r="J380" s="412"/>
      <c r="K380" s="404"/>
      <c r="L380" s="404"/>
      <c r="M380" s="404"/>
      <c r="N380" s="404"/>
      <c r="O380" s="404"/>
      <c r="P380" s="404"/>
      <c r="Q380" s="404"/>
      <c r="R380" s="404"/>
      <c r="S380" s="395"/>
      <c r="T380" s="395"/>
      <c r="U380" s="395"/>
      <c r="V380" s="404"/>
      <c r="W380" s="404"/>
      <c r="X380" s="404"/>
      <c r="Y380" s="404"/>
      <c r="Z380" s="432"/>
      <c r="AA380" s="404"/>
      <c r="AB380" s="404"/>
      <c r="AC380" s="404"/>
    </row>
    <row r="381" spans="1:29" ht="12.75" customHeight="1" x14ac:dyDescent="0.25">
      <c r="A381" s="395"/>
      <c r="B381" s="395"/>
      <c r="C381" s="417"/>
      <c r="D381" s="412"/>
      <c r="E381" s="395"/>
      <c r="F381" s="412"/>
      <c r="G381" s="412"/>
      <c r="H381" s="412"/>
      <c r="I381" s="412"/>
      <c r="J381" s="412"/>
      <c r="K381" s="404"/>
      <c r="L381" s="404"/>
      <c r="M381" s="404"/>
      <c r="N381" s="404"/>
      <c r="O381" s="404"/>
      <c r="P381" s="404"/>
      <c r="Q381" s="404"/>
      <c r="R381" s="404"/>
      <c r="S381" s="395"/>
      <c r="T381" s="395"/>
      <c r="U381" s="395"/>
      <c r="V381" s="404"/>
      <c r="W381" s="404"/>
      <c r="X381" s="404"/>
      <c r="Y381" s="404"/>
      <c r="Z381" s="432"/>
      <c r="AA381" s="404"/>
      <c r="AB381" s="404"/>
      <c r="AC381" s="404"/>
    </row>
    <row r="382" spans="1:29" ht="12.75" customHeight="1" x14ac:dyDescent="0.25">
      <c r="A382" s="395"/>
      <c r="B382" s="395"/>
      <c r="C382" s="417"/>
      <c r="D382" s="412"/>
      <c r="E382" s="395"/>
      <c r="F382" s="412"/>
      <c r="G382" s="412"/>
      <c r="H382" s="412"/>
      <c r="I382" s="412"/>
      <c r="J382" s="412"/>
      <c r="K382" s="404"/>
      <c r="L382" s="404"/>
      <c r="M382" s="404"/>
      <c r="N382" s="404"/>
      <c r="O382" s="404"/>
      <c r="P382" s="404"/>
      <c r="Q382" s="404"/>
      <c r="R382" s="404"/>
      <c r="S382" s="395"/>
      <c r="T382" s="395"/>
      <c r="U382" s="395"/>
      <c r="V382" s="404"/>
      <c r="W382" s="404"/>
      <c r="X382" s="404"/>
      <c r="Y382" s="404"/>
      <c r="Z382" s="432"/>
      <c r="AA382" s="404"/>
      <c r="AB382" s="404"/>
      <c r="AC382" s="404"/>
    </row>
    <row r="383" spans="1:29" ht="12.75" customHeight="1" x14ac:dyDescent="0.25">
      <c r="A383" s="395"/>
      <c r="B383" s="395"/>
      <c r="C383" s="417"/>
      <c r="D383" s="412"/>
      <c r="E383" s="395"/>
      <c r="F383" s="412"/>
      <c r="G383" s="412"/>
      <c r="H383" s="412"/>
      <c r="I383" s="412"/>
      <c r="J383" s="412"/>
      <c r="K383" s="404"/>
      <c r="L383" s="404"/>
      <c r="M383" s="404"/>
      <c r="N383" s="404"/>
      <c r="O383" s="404"/>
      <c r="P383" s="404"/>
      <c r="Q383" s="404"/>
      <c r="R383" s="404"/>
      <c r="S383" s="395"/>
      <c r="T383" s="395"/>
      <c r="U383" s="395"/>
      <c r="V383" s="404"/>
      <c r="W383" s="404"/>
      <c r="X383" s="404"/>
      <c r="Y383" s="404"/>
      <c r="Z383" s="432"/>
      <c r="AA383" s="404"/>
      <c r="AB383" s="404"/>
      <c r="AC383" s="404"/>
    </row>
    <row r="384" spans="1:29" ht="12.75" customHeight="1" x14ac:dyDescent="0.25">
      <c r="A384" s="395"/>
      <c r="B384" s="395"/>
      <c r="C384" s="417"/>
      <c r="D384" s="412"/>
      <c r="E384" s="395"/>
      <c r="F384" s="412"/>
      <c r="G384" s="412"/>
      <c r="H384" s="412"/>
      <c r="I384" s="412"/>
      <c r="J384" s="412"/>
      <c r="K384" s="404"/>
      <c r="L384" s="404"/>
      <c r="M384" s="404"/>
      <c r="N384" s="404"/>
      <c r="O384" s="404"/>
      <c r="P384" s="404"/>
      <c r="Q384" s="404"/>
      <c r="R384" s="404"/>
      <c r="S384" s="395"/>
      <c r="T384" s="395"/>
      <c r="U384" s="395"/>
      <c r="V384" s="404"/>
      <c r="W384" s="404"/>
      <c r="X384" s="404"/>
      <c r="Y384" s="404"/>
      <c r="Z384" s="432"/>
      <c r="AA384" s="404"/>
      <c r="AB384" s="404"/>
      <c r="AC384" s="404"/>
    </row>
    <row r="385" spans="1:29" ht="12.75" customHeight="1" x14ac:dyDescent="0.25">
      <c r="A385" s="395"/>
      <c r="B385" s="395"/>
      <c r="C385" s="417"/>
      <c r="D385" s="412"/>
      <c r="E385" s="395"/>
      <c r="F385" s="412"/>
      <c r="G385" s="412"/>
      <c r="H385" s="412"/>
      <c r="I385" s="412"/>
      <c r="J385" s="412"/>
      <c r="K385" s="404"/>
      <c r="L385" s="404"/>
      <c r="M385" s="404"/>
      <c r="N385" s="404"/>
      <c r="O385" s="404"/>
      <c r="P385" s="404"/>
      <c r="Q385" s="404"/>
      <c r="R385" s="404"/>
      <c r="S385" s="395"/>
      <c r="T385" s="395"/>
      <c r="U385" s="395"/>
      <c r="V385" s="404"/>
      <c r="W385" s="404"/>
      <c r="X385" s="404"/>
      <c r="Y385" s="404"/>
      <c r="Z385" s="432"/>
      <c r="AA385" s="404"/>
      <c r="AB385" s="404"/>
      <c r="AC385" s="404"/>
    </row>
    <row r="386" spans="1:29" ht="12.75" customHeight="1" x14ac:dyDescent="0.25">
      <c r="A386" s="395"/>
      <c r="B386" s="395"/>
      <c r="C386" s="417"/>
      <c r="D386" s="412"/>
      <c r="E386" s="395"/>
      <c r="F386" s="412"/>
      <c r="G386" s="412"/>
      <c r="H386" s="412"/>
      <c r="I386" s="412"/>
      <c r="J386" s="412"/>
      <c r="K386" s="404"/>
      <c r="L386" s="404"/>
      <c r="M386" s="404"/>
      <c r="N386" s="404"/>
      <c r="O386" s="404"/>
      <c r="P386" s="404"/>
      <c r="Q386" s="404"/>
      <c r="R386" s="404"/>
      <c r="S386" s="395"/>
      <c r="T386" s="395"/>
      <c r="U386" s="395"/>
      <c r="V386" s="404"/>
      <c r="W386" s="404"/>
      <c r="X386" s="404"/>
      <c r="Y386" s="404"/>
      <c r="Z386" s="432"/>
      <c r="AA386" s="404"/>
      <c r="AB386" s="404"/>
      <c r="AC386" s="404"/>
    </row>
    <row r="387" spans="1:29" ht="12.75" customHeight="1" x14ac:dyDescent="0.25">
      <c r="A387" s="395"/>
      <c r="B387" s="395"/>
      <c r="C387" s="417"/>
      <c r="D387" s="412"/>
      <c r="E387" s="395"/>
      <c r="F387" s="412"/>
      <c r="G387" s="412"/>
      <c r="H387" s="412"/>
      <c r="I387" s="412"/>
      <c r="J387" s="412"/>
      <c r="K387" s="404"/>
      <c r="L387" s="404"/>
      <c r="M387" s="404"/>
      <c r="N387" s="404"/>
      <c r="O387" s="404"/>
      <c r="P387" s="404"/>
      <c r="Q387" s="404"/>
      <c r="R387" s="404"/>
      <c r="S387" s="395"/>
      <c r="T387" s="395"/>
      <c r="U387" s="395"/>
      <c r="V387" s="404"/>
      <c r="W387" s="404"/>
      <c r="X387" s="404"/>
      <c r="Y387" s="404"/>
      <c r="Z387" s="432"/>
      <c r="AA387" s="404"/>
      <c r="AB387" s="404"/>
      <c r="AC387" s="404"/>
    </row>
    <row r="388" spans="1:29" ht="12.75" customHeight="1" x14ac:dyDescent="0.25">
      <c r="A388" s="395"/>
      <c r="B388" s="395"/>
      <c r="C388" s="417"/>
      <c r="D388" s="412"/>
      <c r="E388" s="395"/>
      <c r="F388" s="412"/>
      <c r="G388" s="412"/>
      <c r="H388" s="412"/>
      <c r="I388" s="412"/>
      <c r="J388" s="412"/>
      <c r="K388" s="404"/>
      <c r="L388" s="404"/>
      <c r="M388" s="404"/>
      <c r="N388" s="404"/>
      <c r="O388" s="404"/>
      <c r="P388" s="404"/>
      <c r="Q388" s="404"/>
      <c r="R388" s="404"/>
      <c r="S388" s="395"/>
      <c r="T388" s="395"/>
      <c r="U388" s="395"/>
      <c r="V388" s="404"/>
      <c r="W388" s="404"/>
      <c r="X388" s="404"/>
      <c r="Y388" s="404"/>
      <c r="Z388" s="432"/>
      <c r="AA388" s="404"/>
      <c r="AB388" s="404"/>
      <c r="AC388" s="404"/>
    </row>
    <row r="389" spans="1:29" ht="12.75" customHeight="1" x14ac:dyDescent="0.25">
      <c r="A389" s="395"/>
      <c r="B389" s="395"/>
      <c r="C389" s="417"/>
      <c r="D389" s="412"/>
      <c r="E389" s="395"/>
      <c r="F389" s="412"/>
      <c r="G389" s="412"/>
      <c r="H389" s="412"/>
      <c r="I389" s="412"/>
      <c r="J389" s="412"/>
      <c r="K389" s="404"/>
      <c r="L389" s="404"/>
      <c r="M389" s="404"/>
      <c r="N389" s="404"/>
      <c r="O389" s="404"/>
      <c r="P389" s="404"/>
      <c r="Q389" s="404"/>
      <c r="R389" s="404"/>
      <c r="S389" s="395"/>
      <c r="T389" s="395"/>
      <c r="U389" s="395"/>
      <c r="V389" s="404"/>
      <c r="W389" s="404"/>
      <c r="X389" s="404"/>
      <c r="Y389" s="404"/>
      <c r="Z389" s="432"/>
      <c r="AA389" s="404"/>
      <c r="AB389" s="404"/>
      <c r="AC389" s="404"/>
    </row>
    <row r="390" spans="1:29" ht="12.75" customHeight="1" x14ac:dyDescent="0.25">
      <c r="A390" s="395"/>
      <c r="B390" s="395"/>
      <c r="C390" s="417"/>
      <c r="D390" s="412"/>
      <c r="E390" s="395"/>
      <c r="F390" s="412"/>
      <c r="G390" s="412"/>
      <c r="H390" s="412"/>
      <c r="I390" s="412"/>
      <c r="J390" s="412"/>
      <c r="K390" s="404"/>
      <c r="L390" s="404"/>
      <c r="M390" s="404"/>
      <c r="N390" s="404"/>
      <c r="O390" s="404"/>
      <c r="P390" s="404"/>
      <c r="Q390" s="404"/>
      <c r="R390" s="404"/>
      <c r="S390" s="395"/>
      <c r="T390" s="395"/>
      <c r="U390" s="395"/>
      <c r="V390" s="404"/>
      <c r="W390" s="404"/>
      <c r="X390" s="404"/>
      <c r="Y390" s="404"/>
      <c r="Z390" s="432"/>
      <c r="AA390" s="404"/>
      <c r="AB390" s="404"/>
      <c r="AC390" s="404"/>
    </row>
    <row r="391" spans="1:29" ht="12.75" customHeight="1" x14ac:dyDescent="0.25">
      <c r="A391" s="395"/>
      <c r="B391" s="395"/>
      <c r="C391" s="417"/>
      <c r="D391" s="412"/>
      <c r="E391" s="395"/>
      <c r="F391" s="412"/>
      <c r="G391" s="412"/>
      <c r="H391" s="412"/>
      <c r="I391" s="412"/>
      <c r="J391" s="412"/>
      <c r="K391" s="404"/>
      <c r="L391" s="404"/>
      <c r="M391" s="404"/>
      <c r="N391" s="404"/>
      <c r="O391" s="404"/>
      <c r="P391" s="404"/>
      <c r="Q391" s="404"/>
      <c r="R391" s="404"/>
      <c r="S391" s="395"/>
      <c r="T391" s="395"/>
      <c r="U391" s="395"/>
      <c r="V391" s="404"/>
      <c r="W391" s="404"/>
      <c r="X391" s="404"/>
      <c r="Y391" s="404"/>
      <c r="Z391" s="432"/>
      <c r="AA391" s="404"/>
      <c r="AB391" s="404"/>
      <c r="AC391" s="404"/>
    </row>
    <row r="392" spans="1:29" ht="12.75" customHeight="1" x14ac:dyDescent="0.25">
      <c r="A392" s="395"/>
      <c r="B392" s="395"/>
      <c r="C392" s="417"/>
      <c r="D392" s="412"/>
      <c r="E392" s="395"/>
      <c r="F392" s="412"/>
      <c r="G392" s="412"/>
      <c r="H392" s="412"/>
      <c r="I392" s="412"/>
      <c r="J392" s="412"/>
      <c r="K392" s="404"/>
      <c r="L392" s="404"/>
      <c r="M392" s="404"/>
      <c r="N392" s="404"/>
      <c r="O392" s="404"/>
      <c r="P392" s="404"/>
      <c r="Q392" s="404"/>
      <c r="R392" s="404"/>
      <c r="S392" s="395"/>
      <c r="T392" s="395"/>
      <c r="U392" s="395"/>
      <c r="V392" s="404"/>
      <c r="W392" s="404"/>
      <c r="X392" s="404"/>
      <c r="Y392" s="404"/>
      <c r="Z392" s="432"/>
      <c r="AA392" s="404"/>
      <c r="AB392" s="404"/>
      <c r="AC392" s="404"/>
    </row>
    <row r="393" spans="1:29" ht="12.75" customHeight="1" x14ac:dyDescent="0.25">
      <c r="A393" s="395"/>
      <c r="B393" s="395"/>
      <c r="C393" s="417"/>
      <c r="D393" s="412"/>
      <c r="E393" s="395"/>
      <c r="F393" s="412"/>
      <c r="G393" s="412"/>
      <c r="H393" s="412"/>
      <c r="I393" s="412"/>
      <c r="J393" s="412"/>
      <c r="K393" s="404"/>
      <c r="L393" s="404"/>
      <c r="M393" s="404"/>
      <c r="N393" s="404"/>
      <c r="O393" s="404"/>
      <c r="P393" s="404"/>
      <c r="Q393" s="404"/>
      <c r="R393" s="404"/>
      <c r="S393" s="395"/>
      <c r="T393" s="395"/>
      <c r="U393" s="395"/>
      <c r="V393" s="404"/>
      <c r="W393" s="404"/>
      <c r="X393" s="404"/>
      <c r="Y393" s="404"/>
      <c r="Z393" s="432"/>
      <c r="AA393" s="404"/>
      <c r="AB393" s="404"/>
      <c r="AC393" s="404"/>
    </row>
    <row r="394" spans="1:29" ht="12.75" customHeight="1" x14ac:dyDescent="0.25">
      <c r="A394" s="119"/>
      <c r="B394" s="119"/>
      <c r="C394" s="123"/>
      <c r="D394" s="122"/>
      <c r="E394" s="119"/>
      <c r="F394" s="122"/>
      <c r="G394" s="122"/>
      <c r="H394" s="122"/>
      <c r="I394" s="122"/>
      <c r="J394" s="122"/>
      <c r="S394" s="120"/>
      <c r="T394" s="120"/>
      <c r="U394" s="120"/>
      <c r="Z394" s="124"/>
    </row>
    <row r="395" spans="1:29" ht="12.75" customHeight="1" x14ac:dyDescent="0.25">
      <c r="A395" s="119"/>
      <c r="B395" s="119"/>
      <c r="C395" s="123"/>
      <c r="D395" s="122"/>
      <c r="E395" s="119"/>
      <c r="F395" s="122"/>
      <c r="G395" s="122"/>
      <c r="H395" s="122"/>
      <c r="I395" s="122"/>
      <c r="J395" s="122"/>
      <c r="S395" s="120"/>
      <c r="T395" s="120"/>
      <c r="U395" s="120"/>
      <c r="Z395" s="124"/>
    </row>
    <row r="396" spans="1:29" ht="12.75" customHeight="1" x14ac:dyDescent="0.25">
      <c r="A396" s="119"/>
      <c r="B396" s="119"/>
      <c r="C396" s="123"/>
      <c r="D396" s="122"/>
      <c r="E396" s="119"/>
      <c r="F396" s="122"/>
      <c r="G396" s="122"/>
      <c r="H396" s="122"/>
      <c r="I396" s="122"/>
      <c r="J396" s="122"/>
      <c r="Z396" s="124"/>
    </row>
    <row r="397" spans="1:29" ht="12.75" customHeight="1" x14ac:dyDescent="0.25">
      <c r="A397" s="119"/>
      <c r="B397" s="119"/>
      <c r="C397" s="123"/>
      <c r="D397" s="122"/>
      <c r="E397" s="119"/>
      <c r="F397" s="122"/>
      <c r="G397" s="122"/>
      <c r="H397" s="122"/>
      <c r="I397" s="122"/>
      <c r="J397" s="122"/>
      <c r="Z397" s="124"/>
    </row>
    <row r="398" spans="1:29" ht="12.75" customHeight="1" x14ac:dyDescent="0.25">
      <c r="A398" s="119"/>
      <c r="B398" s="119"/>
      <c r="C398" s="123"/>
      <c r="D398" s="122"/>
      <c r="E398" s="119"/>
      <c r="F398" s="122"/>
      <c r="G398" s="122"/>
      <c r="H398" s="122"/>
      <c r="I398" s="122"/>
      <c r="J398" s="122"/>
      <c r="Z398" s="124"/>
    </row>
    <row r="399" spans="1:29" ht="12.75" customHeight="1" x14ac:dyDescent="0.25">
      <c r="A399" s="119"/>
      <c r="B399" s="119"/>
      <c r="C399" s="123"/>
      <c r="D399" s="122"/>
      <c r="E399" s="119"/>
      <c r="F399" s="122"/>
      <c r="G399" s="122"/>
      <c r="H399" s="122"/>
      <c r="I399" s="122"/>
      <c r="J399" s="122"/>
      <c r="Z399" s="124"/>
    </row>
    <row r="400" spans="1:29" ht="12.75" customHeight="1" x14ac:dyDescent="0.25">
      <c r="A400" s="119"/>
      <c r="B400" s="119"/>
      <c r="C400" s="123"/>
      <c r="D400" s="122"/>
      <c r="E400" s="119"/>
      <c r="F400" s="122"/>
      <c r="G400" s="122"/>
      <c r="H400" s="122"/>
      <c r="I400" s="122"/>
      <c r="J400" s="122"/>
      <c r="Z400" s="124"/>
    </row>
    <row r="401" spans="1:42" ht="12.75" hidden="1" customHeight="1" x14ac:dyDescent="0.25">
      <c r="A401" s="119"/>
      <c r="B401" s="119"/>
      <c r="C401" s="123"/>
      <c r="D401" s="122"/>
      <c r="E401" s="119"/>
      <c r="F401" s="122"/>
      <c r="G401" s="122"/>
      <c r="H401" s="122"/>
      <c r="I401" s="122"/>
      <c r="J401" s="122"/>
      <c r="Z401" s="124"/>
    </row>
    <row r="402" spans="1:42" s="742" customFormat="1" ht="12.75" hidden="1" customHeight="1" x14ac:dyDescent="0.25">
      <c r="C402" s="740"/>
      <c r="D402" s="741"/>
      <c r="F402" s="741"/>
      <c r="G402" s="741"/>
      <c r="H402" s="741"/>
      <c r="I402" s="741"/>
      <c r="J402" s="741"/>
      <c r="Z402" s="833"/>
    </row>
    <row r="403" spans="1:42" s="744" customFormat="1" ht="12.75" hidden="1" customHeight="1" x14ac:dyDescent="0.25">
      <c r="G403" s="743"/>
      <c r="H403" s="743"/>
      <c r="I403" s="743"/>
      <c r="J403" s="743"/>
      <c r="K403" s="743"/>
      <c r="L403" s="743"/>
      <c r="M403" s="743"/>
      <c r="N403" s="743"/>
    </row>
    <row r="404" spans="1:42" s="744" customFormat="1" ht="12.75" hidden="1" customHeight="1" x14ac:dyDescent="0.25">
      <c r="B404" s="749"/>
      <c r="C404" s="1096" t="s">
        <v>52</v>
      </c>
      <c r="D404" s="1096"/>
      <c r="E404" s="1096" t="s">
        <v>0</v>
      </c>
      <c r="F404" s="1096"/>
      <c r="G404" s="1098">
        <f t="shared" ref="G404" si="0">$C$12</f>
        <v>2500</v>
      </c>
      <c r="H404" s="1098"/>
      <c r="I404" s="1098"/>
      <c r="J404" s="743"/>
      <c r="K404" s="1111" t="s">
        <v>243</v>
      </c>
      <c r="L404" s="1111"/>
      <c r="M404" s="1111"/>
      <c r="N404" s="1111"/>
      <c r="O404" s="1097" t="s">
        <v>124</v>
      </c>
      <c r="P404" s="1097"/>
      <c r="Q404" s="834">
        <f>$M$424</f>
        <v>0.28449999999999998</v>
      </c>
      <c r="R404" s="1097" t="s">
        <v>125</v>
      </c>
      <c r="S404" s="1097"/>
      <c r="T404" s="834">
        <f>$M$425</f>
        <v>0.28449999999999998</v>
      </c>
      <c r="U404" s="796">
        <v>2</v>
      </c>
      <c r="W404" s="789" t="s">
        <v>236</v>
      </c>
      <c r="X404" s="745" t="b">
        <f>IF(E432=1,X409)</f>
        <v>0</v>
      </c>
      <c r="Y404" s="789" t="s">
        <v>109</v>
      </c>
      <c r="Z404" s="745" t="b">
        <f>IF(E432=1,Y409,IF(E432=2,Z409))</f>
        <v>0</v>
      </c>
      <c r="AC404" s="1120"/>
      <c r="AD404" s="1120"/>
      <c r="AE404" s="1120"/>
      <c r="AF404" s="1120"/>
      <c r="AG404" s="1120"/>
      <c r="AH404" s="1120"/>
      <c r="AI404" s="1120"/>
      <c r="AJ404" s="1120"/>
      <c r="AK404" s="1120"/>
      <c r="AL404" s="1120"/>
      <c r="AM404" s="1120"/>
      <c r="AN404" s="1120"/>
      <c r="AO404" s="1120"/>
      <c r="AP404" s="1120"/>
    </row>
    <row r="405" spans="1:42" s="744" customFormat="1" ht="12.75" hidden="1" customHeight="1" x14ac:dyDescent="0.25">
      <c r="B405" s="797"/>
      <c r="C405" s="835" t="s">
        <v>2</v>
      </c>
      <c r="D405" s="836">
        <f>$N$417</f>
        <v>36</v>
      </c>
      <c r="E405" s="837" t="s">
        <v>77</v>
      </c>
      <c r="F405" s="836">
        <f>$L$435</f>
        <v>6</v>
      </c>
      <c r="G405" s="1098"/>
      <c r="H405" s="1098"/>
      <c r="I405" s="1098"/>
      <c r="J405" s="743"/>
      <c r="K405" s="747" t="s">
        <v>2</v>
      </c>
      <c r="L405" s="838" t="s">
        <v>225</v>
      </c>
      <c r="M405" s="838" t="s">
        <v>102</v>
      </c>
      <c r="N405" s="838" t="s">
        <v>9</v>
      </c>
      <c r="O405" s="838" t="s">
        <v>135</v>
      </c>
      <c r="P405" s="838" t="s">
        <v>224</v>
      </c>
      <c r="Q405" s="838" t="s">
        <v>8</v>
      </c>
      <c r="R405" s="838" t="s">
        <v>247</v>
      </c>
      <c r="S405" s="838" t="s">
        <v>248</v>
      </c>
      <c r="T405" s="838" t="s">
        <v>108</v>
      </c>
      <c r="U405" s="838" t="s">
        <v>11</v>
      </c>
      <c r="X405" s="747" t="s">
        <v>47</v>
      </c>
      <c r="Y405" s="747" t="s">
        <v>47</v>
      </c>
      <c r="Z405" s="747" t="s">
        <v>48</v>
      </c>
      <c r="AA405" s="745"/>
      <c r="AC405" s="1121"/>
      <c r="AD405" s="1121"/>
      <c r="AE405" s="1121"/>
      <c r="AF405" s="1121"/>
      <c r="AG405" s="1121"/>
      <c r="AH405" s="1121"/>
      <c r="AI405" s="1121"/>
      <c r="AJ405" s="1121"/>
      <c r="AK405" s="1121"/>
      <c r="AL405" s="1121"/>
      <c r="AM405" s="1121"/>
      <c r="AN405" s="1121"/>
      <c r="AO405" s="1121"/>
      <c r="AP405" s="1121"/>
    </row>
    <row r="406" spans="1:42" s="744" customFormat="1" ht="12.75" hidden="1" customHeight="1" x14ac:dyDescent="0.25">
      <c r="B406" s="755"/>
      <c r="C406" s="798" t="s">
        <v>36</v>
      </c>
      <c r="D406" s="755">
        <f>$M$426</f>
        <v>0.28449999999999998</v>
      </c>
      <c r="E406" s="798" t="s">
        <v>36</v>
      </c>
      <c r="F406" s="763">
        <f>$L$423</f>
        <v>9.9299999999999999E-2</v>
      </c>
      <c r="G406" s="1098"/>
      <c r="H406" s="1098"/>
      <c r="I406" s="1098"/>
      <c r="J406" s="743"/>
      <c r="K406" s="799">
        <v>6</v>
      </c>
      <c r="L406" s="754">
        <v>0.49399999999999999</v>
      </c>
      <c r="M406" s="754">
        <v>0.89349999999999996</v>
      </c>
      <c r="N406" s="800">
        <v>1.206</v>
      </c>
      <c r="O406" s="800">
        <v>1.4370000000000001</v>
      </c>
      <c r="P406" s="800"/>
      <c r="Q406" s="800"/>
      <c r="T406" s="754"/>
      <c r="U406" s="754" t="str">
        <f>IF(I440&lt;2001,"18.62%",IF(I440&lt;3001,"18.90%",IF(I440&lt;6001,"19.19%",IF(I440&lt;8001,"19.26%",IF(I440&lt;10001,"19.30%",IF(I440&lt;15001,"19.36%",IF(I440&lt;20001,"19.42%","19.48%")))))))</f>
        <v>18.62%</v>
      </c>
      <c r="W406" s="791" t="s">
        <v>86</v>
      </c>
      <c r="X406" s="745">
        <v>0</v>
      </c>
      <c r="Y406" s="745">
        <v>-0.02</v>
      </c>
      <c r="Z406" s="745">
        <v>0</v>
      </c>
      <c r="AA406" s="745"/>
      <c r="AB406" s="746"/>
      <c r="AD406" s="747"/>
      <c r="AE406" s="747"/>
      <c r="AF406" s="747"/>
      <c r="AG406" s="748"/>
      <c r="AH406" s="749"/>
      <c r="AI406" s="749"/>
      <c r="AK406" s="747"/>
      <c r="AL406" s="747"/>
      <c r="AM406" s="747"/>
      <c r="AN406" s="748"/>
      <c r="AO406" s="749"/>
      <c r="AP406" s="749"/>
    </row>
    <row r="407" spans="1:42" s="744" customFormat="1" ht="12.75" hidden="1" customHeight="1" x14ac:dyDescent="0.25">
      <c r="B407" s="749"/>
      <c r="C407" s="1097" t="s">
        <v>10</v>
      </c>
      <c r="D407" s="1097"/>
      <c r="E407" s="1097" t="s">
        <v>10</v>
      </c>
      <c r="F407" s="1097"/>
      <c r="G407" s="743"/>
      <c r="H407" s="743"/>
      <c r="I407" s="743"/>
      <c r="J407" s="743"/>
      <c r="K407" s="799">
        <v>12</v>
      </c>
      <c r="L407" s="754"/>
      <c r="M407" s="754">
        <v>0.26219999999999999</v>
      </c>
      <c r="N407" s="754">
        <v>0.37119999999999997</v>
      </c>
      <c r="O407" s="754">
        <v>0.46700000000000003</v>
      </c>
      <c r="P407" s="754"/>
      <c r="Q407" s="754"/>
      <c r="T407" s="754"/>
      <c r="U407" s="754"/>
      <c r="W407" s="791" t="s">
        <v>87</v>
      </c>
      <c r="X407" s="745">
        <v>0</v>
      </c>
      <c r="Y407" s="745">
        <v>-0.02</v>
      </c>
      <c r="Z407" s="745">
        <v>0</v>
      </c>
      <c r="AA407" s="745"/>
      <c r="AB407" s="746"/>
      <c r="AD407" s="750"/>
      <c r="AE407" s="747"/>
      <c r="AF407" s="747"/>
      <c r="AG407" s="748"/>
      <c r="AH407" s="749"/>
      <c r="AK407" s="750"/>
      <c r="AL407" s="747"/>
      <c r="AM407" s="747"/>
      <c r="AN407" s="748"/>
      <c r="AO407" s="749"/>
      <c r="AP407" s="749"/>
    </row>
    <row r="408" spans="1:42" s="744" customFormat="1" ht="12.75" hidden="1" customHeight="1" x14ac:dyDescent="0.25">
      <c r="B408" s="779"/>
      <c r="C408" s="759" t="s">
        <v>12</v>
      </c>
      <c r="D408" s="801">
        <f>$G$404</f>
        <v>2500</v>
      </c>
      <c r="E408" s="759" t="s">
        <v>12</v>
      </c>
      <c r="F408" s="802">
        <f>$G$404</f>
        <v>2500</v>
      </c>
      <c r="G408" s="743"/>
      <c r="H408" s="743"/>
      <c r="I408" s="743"/>
      <c r="J408" s="743"/>
      <c r="K408" s="799">
        <v>18</v>
      </c>
      <c r="L408" s="754"/>
      <c r="M408" s="754">
        <v>0.12659999999999999</v>
      </c>
      <c r="N408" s="754">
        <v>0.18179999999999999</v>
      </c>
      <c r="O408" s="754">
        <v>0.2321</v>
      </c>
      <c r="P408" s="754"/>
      <c r="Q408" s="754"/>
      <c r="T408" s="754"/>
      <c r="U408" s="754"/>
      <c r="W408" s="791" t="s">
        <v>231</v>
      </c>
      <c r="X408" s="745">
        <v>0</v>
      </c>
      <c r="Y408" s="745">
        <v>-0.02</v>
      </c>
      <c r="Z408" s="745">
        <v>0</v>
      </c>
      <c r="AA408" s="751"/>
      <c r="AB408" s="746"/>
      <c r="AD408" s="747"/>
      <c r="AE408" s="747"/>
      <c r="AF408" s="747"/>
      <c r="AG408" s="748"/>
      <c r="AH408" s="749"/>
      <c r="AK408" s="747"/>
      <c r="AL408" s="747"/>
      <c r="AM408" s="747"/>
      <c r="AN408" s="748"/>
      <c r="AO408" s="749"/>
      <c r="AP408" s="749"/>
    </row>
    <row r="409" spans="1:42" s="744" customFormat="1" ht="13.5" hidden="1" customHeight="1" x14ac:dyDescent="0.25">
      <c r="B409" s="759"/>
      <c r="C409" s="759" t="s">
        <v>14</v>
      </c>
      <c r="D409" s="803">
        <v>0</v>
      </c>
      <c r="E409" s="759" t="s">
        <v>14</v>
      </c>
      <c r="F409" s="802">
        <v>0</v>
      </c>
      <c r="G409" s="743"/>
      <c r="H409" s="743"/>
      <c r="I409" s="743"/>
      <c r="J409" s="743"/>
      <c r="K409" s="799">
        <v>24</v>
      </c>
      <c r="L409" s="754"/>
      <c r="M409" s="754">
        <v>7.5600000000000001E-2</v>
      </c>
      <c r="N409" s="754">
        <v>0.1094</v>
      </c>
      <c r="O409" s="754">
        <v>0.14080000000000001</v>
      </c>
      <c r="P409" s="754">
        <v>0.16980000000000001</v>
      </c>
      <c r="Q409" s="754">
        <v>0.19670000000000001</v>
      </c>
      <c r="T409" s="754"/>
      <c r="U409" s="754"/>
      <c r="W409" s="745"/>
      <c r="X409" s="745">
        <f>IF(N444&gt;6000,X408, IF(N444&gt;3000,X407, IF(N444&gt;499,X406, "Min $500")))</f>
        <v>0</v>
      </c>
      <c r="Y409" s="745">
        <f>IF(N444&gt;6000,Y408, IF(N444&gt;3000,Y407, IF(N444&gt;499,Y406, "Min $500")))</f>
        <v>-0.02</v>
      </c>
      <c r="Z409" s="745">
        <f>IF(N444&gt;6000,Z408, IF(N444&gt;3000,Z407, IF(N444&gt;499,Z406, "Min $500")))</f>
        <v>0</v>
      </c>
      <c r="AA409" s="751"/>
      <c r="AB409" s="746"/>
      <c r="AC409" s="1121"/>
      <c r="AD409" s="1121"/>
      <c r="AE409" s="1121"/>
      <c r="AF409" s="1121"/>
      <c r="AG409" s="1121"/>
      <c r="AH409" s="1121"/>
      <c r="AI409" s="1121"/>
      <c r="AJ409" s="1121"/>
      <c r="AK409" s="1121"/>
      <c r="AL409" s="1121"/>
      <c r="AM409" s="1121"/>
      <c r="AN409" s="1121"/>
      <c r="AO409" s="1121"/>
      <c r="AP409" s="1121"/>
    </row>
    <row r="410" spans="1:42" s="744" customFormat="1" ht="13.5" hidden="1" customHeight="1" x14ac:dyDescent="0.25">
      <c r="B410" s="804"/>
      <c r="C410" s="759" t="s">
        <v>17</v>
      </c>
      <c r="D410" s="801">
        <v>0</v>
      </c>
      <c r="E410" s="759" t="s">
        <v>17</v>
      </c>
      <c r="F410" s="802">
        <v>0</v>
      </c>
      <c r="G410" s="752"/>
      <c r="H410" s="743"/>
      <c r="I410" s="743"/>
      <c r="J410" s="743"/>
      <c r="K410" s="799">
        <v>30</v>
      </c>
      <c r="L410" s="754"/>
      <c r="M410" s="754"/>
      <c r="N410" s="754">
        <v>7.4099999999999999E-2</v>
      </c>
      <c r="O410" s="754">
        <v>9.5699999999999993E-2</v>
      </c>
      <c r="P410" s="754">
        <v>0.1159</v>
      </c>
      <c r="Q410" s="754">
        <v>0.1348</v>
      </c>
      <c r="T410" s="754"/>
      <c r="U410" s="754"/>
      <c r="AA410" s="751"/>
      <c r="AB410" s="753"/>
      <c r="AD410" s="747"/>
      <c r="AE410" s="747"/>
      <c r="AF410" s="747"/>
      <c r="AG410" s="748"/>
      <c r="AH410" s="749"/>
      <c r="AK410" s="747"/>
      <c r="AL410" s="749"/>
      <c r="AM410" s="749"/>
      <c r="AN410" s="754"/>
      <c r="AO410" s="747"/>
    </row>
    <row r="411" spans="1:42" s="744" customFormat="1" ht="13.5" hidden="1" customHeight="1" x14ac:dyDescent="0.25">
      <c r="B411" s="804"/>
      <c r="C411" s="759" t="s">
        <v>4</v>
      </c>
      <c r="D411" s="805">
        <f>$O$426</f>
        <v>95</v>
      </c>
      <c r="E411" s="759" t="s">
        <v>4</v>
      </c>
      <c r="F411" s="806">
        <f>$D$411</f>
        <v>95</v>
      </c>
      <c r="H411" s="743"/>
      <c r="I411" s="743"/>
      <c r="J411" s="743"/>
      <c r="K411" s="799">
        <v>36</v>
      </c>
      <c r="L411" s="754"/>
      <c r="M411" s="754"/>
      <c r="N411" s="754"/>
      <c r="O411" s="754">
        <v>7.0099999999999996E-2</v>
      </c>
      <c r="P411" s="754">
        <v>8.5099999999999995E-2</v>
      </c>
      <c r="Q411" s="754">
        <v>9.9299999999999999E-2</v>
      </c>
      <c r="R411" s="755">
        <v>0.1123</v>
      </c>
      <c r="T411" s="754"/>
      <c r="U411" s="754"/>
      <c r="W411" s="839" t="s">
        <v>148</v>
      </c>
      <c r="X411" s="743" t="s">
        <v>74</v>
      </c>
      <c r="Y411" s="807">
        <f>N444*Z411</f>
        <v>0</v>
      </c>
      <c r="Z411" s="755" t="b">
        <f>IF(E432=1,W416,IF(E432=2,X416,IF(E432=3,Y416,IF(E432=4,Z416))))</f>
        <v>0</v>
      </c>
      <c r="AA411" s="751"/>
      <c r="AB411" s="746"/>
      <c r="AD411" s="750"/>
      <c r="AE411" s="747"/>
      <c r="AF411" s="747"/>
      <c r="AG411" s="748"/>
      <c r="AH411" s="749"/>
      <c r="AK411" s="750"/>
      <c r="AL411" s="747"/>
      <c r="AM411" s="747"/>
      <c r="AN411" s="748"/>
      <c r="AO411" s="749"/>
    </row>
    <row r="412" spans="1:42" s="744" customFormat="1" ht="13.5" hidden="1" customHeight="1" x14ac:dyDescent="0.25">
      <c r="B412" s="783" t="s">
        <v>20</v>
      </c>
      <c r="C412" s="808" t="s">
        <v>19</v>
      </c>
      <c r="D412" s="801">
        <f>D408+D410+D411</f>
        <v>2595</v>
      </c>
      <c r="E412" s="808" t="s">
        <v>19</v>
      </c>
      <c r="F412" s="802">
        <f>F408+F410+F411</f>
        <v>2595</v>
      </c>
      <c r="H412" s="743"/>
      <c r="I412" s="743"/>
      <c r="J412" s="743"/>
      <c r="K412" s="799">
        <v>42</v>
      </c>
      <c r="L412" s="754"/>
      <c r="M412" s="754"/>
      <c r="N412" s="754"/>
      <c r="O412" s="754"/>
      <c r="P412" s="754">
        <v>6.5699999999999995E-2</v>
      </c>
      <c r="Q412" s="754">
        <v>7.6799999999999993E-2</v>
      </c>
      <c r="R412" s="755">
        <v>8.6999999999999994E-2</v>
      </c>
      <c r="S412" s="755">
        <v>9.7000000000000003E-2</v>
      </c>
      <c r="T412" s="754">
        <v>0.1066</v>
      </c>
      <c r="U412" s="754">
        <v>0.13250000000000001</v>
      </c>
      <c r="W412" s="781" t="s">
        <v>47</v>
      </c>
      <c r="X412" s="781" t="s">
        <v>48</v>
      </c>
      <c r="Y412" s="781" t="s">
        <v>49</v>
      </c>
      <c r="Z412" s="781" t="s">
        <v>50</v>
      </c>
      <c r="AA412" s="751"/>
      <c r="AB412" s="746"/>
      <c r="AD412" s="747"/>
      <c r="AE412" s="747"/>
      <c r="AF412" s="747"/>
      <c r="AG412" s="748"/>
      <c r="AH412" s="749"/>
      <c r="AK412" s="747"/>
      <c r="AL412" s="747"/>
      <c r="AM412" s="747"/>
      <c r="AN412" s="755"/>
      <c r="AO412" s="749"/>
    </row>
    <row r="413" spans="1:42" s="744" customFormat="1" ht="13.5" hidden="1" customHeight="1" x14ac:dyDescent="0.25">
      <c r="B413" s="783" t="s">
        <v>22</v>
      </c>
      <c r="C413" s="809" t="s">
        <v>21</v>
      </c>
      <c r="D413" s="810">
        <f>$G$12</f>
        <v>300</v>
      </c>
      <c r="E413" s="809" t="s">
        <v>21</v>
      </c>
      <c r="F413" s="806">
        <f>$G$12</f>
        <v>300</v>
      </c>
      <c r="G413" s="752" t="s">
        <v>128</v>
      </c>
      <c r="H413" s="743"/>
      <c r="I413" s="743"/>
      <c r="J413" s="743"/>
      <c r="K413" s="799">
        <v>48</v>
      </c>
      <c r="L413" s="754"/>
      <c r="M413" s="754"/>
      <c r="N413" s="754"/>
      <c r="O413" s="747"/>
      <c r="P413" s="754">
        <v>5.2699999999999997E-2</v>
      </c>
      <c r="Q413" s="754">
        <v>6.1699999999999998E-2</v>
      </c>
      <c r="R413" s="755">
        <v>6.9900000000000004E-2</v>
      </c>
      <c r="S413" s="755">
        <v>7.8E-2</v>
      </c>
      <c r="T413" s="754">
        <v>8.5999999999999993E-2</v>
      </c>
      <c r="U413" s="754">
        <v>0.1074</v>
      </c>
      <c r="W413" s="755">
        <v>-0.03</v>
      </c>
      <c r="X413" s="755">
        <v>-2.5000000000000001E-2</v>
      </c>
      <c r="Y413" s="755">
        <v>0</v>
      </c>
      <c r="Z413" s="755">
        <v>1.4999999999999999E-2</v>
      </c>
      <c r="AA413" s="751"/>
      <c r="AB413" s="746"/>
      <c r="AC413" s="1121"/>
      <c r="AD413" s="1121"/>
      <c r="AE413" s="1121"/>
      <c r="AF413" s="1121"/>
      <c r="AG413" s="1121"/>
      <c r="AH413" s="1121"/>
      <c r="AI413" s="1121"/>
      <c r="AJ413" s="1121"/>
      <c r="AK413" s="1121"/>
      <c r="AL413" s="1121"/>
      <c r="AM413" s="1121"/>
      <c r="AN413" s="1121"/>
      <c r="AO413" s="1121"/>
      <c r="AP413" s="1121"/>
    </row>
    <row r="414" spans="1:42" s="744" customFormat="1" ht="13.5" hidden="1" customHeight="1" x14ac:dyDescent="0.25">
      <c r="B414" s="787" t="s">
        <v>24</v>
      </c>
      <c r="C414" s="808" t="s">
        <v>23</v>
      </c>
      <c r="D414" s="761">
        <f>D412-D413</f>
        <v>2295</v>
      </c>
      <c r="E414" s="808" t="s">
        <v>23</v>
      </c>
      <c r="F414" s="802">
        <f>F412-F413</f>
        <v>2295</v>
      </c>
      <c r="G414" s="811">
        <f>L423/10</f>
        <v>9.9299999999999996E-3</v>
      </c>
      <c r="H414" s="743"/>
      <c r="I414" s="743"/>
      <c r="J414" s="743"/>
      <c r="K414" s="1103" t="s">
        <v>1</v>
      </c>
      <c r="L414" s="1103"/>
      <c r="M414" s="747"/>
      <c r="N414" s="747"/>
      <c r="O414" s="747"/>
      <c r="P414" s="1103" t="s">
        <v>238</v>
      </c>
      <c r="Q414" s="1103"/>
      <c r="R414" s="1103"/>
      <c r="S414" s="1103"/>
      <c r="T414" s="747"/>
      <c r="U414" s="747"/>
      <c r="W414" s="755">
        <v>-0.03</v>
      </c>
      <c r="X414" s="755">
        <v>-2.5000000000000001E-2</v>
      </c>
      <c r="Y414" s="755">
        <v>0</v>
      </c>
      <c r="Z414" s="755">
        <v>1.4999999999999999E-2</v>
      </c>
      <c r="AA414" s="751"/>
      <c r="AD414" s="747"/>
      <c r="AE414" s="747"/>
      <c r="AF414" s="747"/>
      <c r="AG414" s="755"/>
      <c r="AH414" s="749"/>
      <c r="AI414" s="749"/>
      <c r="AK414" s="747"/>
      <c r="AL414" s="747"/>
      <c r="AM414" s="747"/>
      <c r="AN414" s="748"/>
      <c r="AO414" s="749"/>
    </row>
    <row r="415" spans="1:42" s="744" customFormat="1" ht="13.5" hidden="1" customHeight="1" x14ac:dyDescent="0.25">
      <c r="B415" s="783"/>
      <c r="C415" s="759" t="s">
        <v>62</v>
      </c>
      <c r="D415" s="761">
        <f>D418-D414-D416</f>
        <v>1142.6400000000001</v>
      </c>
      <c r="E415" s="759" t="s">
        <v>62</v>
      </c>
      <c r="F415" s="802">
        <f>F418-F414-F416</f>
        <v>734.04</v>
      </c>
      <c r="G415" s="767">
        <f>D415*G414</f>
        <v>11.35</v>
      </c>
      <c r="H415" s="743"/>
      <c r="I415" s="743"/>
      <c r="J415" s="743"/>
      <c r="K415" s="812">
        <v>6</v>
      </c>
      <c r="L415" s="813" t="b">
        <f>IF(E432=1,IF(F432=1,M426,IF(F432=2,M426,IF(F432=3,M426,IF(F432=4,L406,IF(F432=5,M406,IF(F432=6,N406,IF(F432=7,O406))))))))</f>
        <v>0</v>
      </c>
      <c r="M415" s="814" t="s">
        <v>116</v>
      </c>
      <c r="N415" s="1099" t="s">
        <v>2</v>
      </c>
      <c r="O415" s="1114" t="s">
        <v>241</v>
      </c>
      <c r="P415" s="815" t="s">
        <v>2</v>
      </c>
      <c r="Q415" s="1102" t="s">
        <v>136</v>
      </c>
      <c r="R415" s="1102"/>
      <c r="S415" s="1102"/>
      <c r="W415" s="755">
        <v>-0.03</v>
      </c>
      <c r="X415" s="755">
        <v>-2.5000000000000001E-2</v>
      </c>
      <c r="Y415" s="755">
        <v>0</v>
      </c>
      <c r="Z415" s="755">
        <v>1.4999999999999999E-2</v>
      </c>
      <c r="AA415" s="751"/>
      <c r="AD415" s="750"/>
      <c r="AE415" s="747"/>
      <c r="AF415" s="747"/>
      <c r="AG415" s="748"/>
      <c r="AH415" s="749"/>
      <c r="AI415" s="749"/>
      <c r="AK415" s="747"/>
      <c r="AL415" s="747"/>
      <c r="AM415" s="747"/>
      <c r="AN415" s="748"/>
      <c r="AO415" s="749"/>
    </row>
    <row r="416" spans="1:42" s="744" customFormat="1" ht="13.5" hidden="1" customHeight="1" x14ac:dyDescent="0.25">
      <c r="B416" s="783"/>
      <c r="C416" s="759" t="s">
        <v>63</v>
      </c>
      <c r="D416" s="761">
        <f>$F$416</f>
        <v>214.2</v>
      </c>
      <c r="E416" s="759" t="s">
        <v>63</v>
      </c>
      <c r="F416" s="761">
        <f>O423*D405</f>
        <v>214.2</v>
      </c>
      <c r="G416" s="816">
        <f>G414*10</f>
        <v>9.9299999999999999E-2</v>
      </c>
      <c r="H416" s="743"/>
      <c r="I416" s="743"/>
      <c r="J416" s="743"/>
      <c r="K416" s="812">
        <v>12</v>
      </c>
      <c r="L416" s="763" t="b">
        <f>IF(E432=2,IF(F432=1,M426,IF(F432=2,M426,IF(F432=3,M426,IF(F432=4,L407,IF(F432=5,M407,IF(F432=6,N407,IF(F432=7,O407,IF(F432=8,O407)))))))))</f>
        <v>0</v>
      </c>
      <c r="M416" s="817" t="s">
        <v>117</v>
      </c>
      <c r="N416" s="1099"/>
      <c r="O416" s="1114"/>
      <c r="P416" s="770" t="s">
        <v>8</v>
      </c>
      <c r="Q416" s="770" t="s">
        <v>227</v>
      </c>
      <c r="R416" s="798"/>
      <c r="W416" s="755">
        <f>IF(N444&gt;6000,W415, IF(N444&gt;3000,W414, IF(N444&gt;499,W413, "Min $500")))</f>
        <v>-0.03</v>
      </c>
      <c r="X416" s="755">
        <f>IF(N444&gt;6000,X415, IF(N444&gt;3000,X414, IF(N444&gt;499,X413, "Min $500")))</f>
        <v>-2.5000000000000001E-2</v>
      </c>
      <c r="Y416" s="755">
        <f>IF(N444&gt;6000,Y415, IF(N444&gt;3000,Y414, IF(N444&gt;499,Y413, "Min $500")))</f>
        <v>0</v>
      </c>
      <c r="Z416" s="755">
        <f>IF(N444&gt;6000,Z415, IF(N444&gt;3000,Z414, IF(N444&gt;499,Z413, "Min $500")))</f>
        <v>1.4999999999999999E-2</v>
      </c>
      <c r="AA416" s="751"/>
      <c r="AD416" s="747"/>
      <c r="AE416" s="747"/>
      <c r="AF416" s="747"/>
      <c r="AG416" s="748"/>
      <c r="AH416" s="749"/>
      <c r="AI416" s="749"/>
      <c r="AK416" s="747"/>
      <c r="AL416" s="747"/>
      <c r="AM416" s="747"/>
      <c r="AN416" s="748"/>
      <c r="AO416" s="749"/>
    </row>
    <row r="417" spans="2:42" s="744" customFormat="1" ht="13.5" hidden="1" customHeight="1" x14ac:dyDescent="0.25">
      <c r="B417" s="783" t="s">
        <v>27</v>
      </c>
      <c r="C417" s="808" t="s">
        <v>26</v>
      </c>
      <c r="D417" s="761">
        <f>D415+D416</f>
        <v>1356.84</v>
      </c>
      <c r="E417" s="808" t="s">
        <v>26</v>
      </c>
      <c r="F417" s="802">
        <f>F415+F416</f>
        <v>948.24</v>
      </c>
      <c r="H417" s="743"/>
      <c r="I417" s="743"/>
      <c r="J417" s="743"/>
      <c r="K417" s="812">
        <v>18</v>
      </c>
      <c r="L417" s="763" t="b">
        <f>IF(E432=3,IF(F432=1,M426,IF(F432=2,M426,IF(F432=3,M426,IF(F432=4,L408,IF(F432=5,M408,IF(F432=6,N408,IF(F432=7,O408,IF(F432=8,P408)))))))))</f>
        <v>0</v>
      </c>
      <c r="M417" s="817" t="s">
        <v>118</v>
      </c>
      <c r="N417" s="1101">
        <f>IF(E432=1,6,IF(E432=2,12,IF(E432=3,18,IF(E432=4,24,IF(E432=5,30,IF(E432=6,36,IF(E432=7,42,IF(E432=8,48,0))))))))</f>
        <v>36</v>
      </c>
      <c r="O417" s="1101">
        <f>IF(F432=1,0,IF(F432=2,0,IF(F432=3,0,IF(F432=4,1,IF(F432=5,2,IF(F432=6,3,IF(F432=7,4,IF(F432=8,5,IF(F432=9,6,IF(F432=10,7,IF(F432=11,8,IF(F432=12,9,IF(F432=13,12,)))))))))))))</f>
        <v>6</v>
      </c>
      <c r="P417" s="770" t="s">
        <v>11</v>
      </c>
      <c r="Q417" s="770" t="str">
        <f>IF(E432=4,"Deferred Start &amp; 0% Int",IF(E432=6,"Deferred Start &amp; 0% Int","N/A"))</f>
        <v>Deferred Start &amp; 0% Int</v>
      </c>
      <c r="R417" s="798"/>
      <c r="AA417" s="751"/>
      <c r="AC417" s="1120"/>
      <c r="AD417" s="1120"/>
      <c r="AE417" s="1120"/>
      <c r="AF417" s="1120"/>
      <c r="AG417" s="1120"/>
      <c r="AH417" s="1120"/>
      <c r="AI417" s="1120"/>
      <c r="AJ417" s="1120"/>
      <c r="AK417" s="1120"/>
      <c r="AL417" s="1120"/>
      <c r="AM417" s="1120"/>
      <c r="AN417" s="1120"/>
      <c r="AO417" s="1120"/>
      <c r="AP417" s="1120"/>
    </row>
    <row r="418" spans="2:42" s="744" customFormat="1" ht="13.5" hidden="1" customHeight="1" x14ac:dyDescent="0.25">
      <c r="B418" s="783" t="s">
        <v>32</v>
      </c>
      <c r="C418" s="808" t="s">
        <v>31</v>
      </c>
      <c r="D418" s="761">
        <f>D423*D405</f>
        <v>3651.84</v>
      </c>
      <c r="E418" s="808" t="s">
        <v>31</v>
      </c>
      <c r="F418" s="802">
        <f>(F423*N417)</f>
        <v>3243.24</v>
      </c>
      <c r="G418" s="747"/>
      <c r="H418" s="743"/>
      <c r="I418" s="743"/>
      <c r="J418" s="743"/>
      <c r="K418" s="812">
        <v>24</v>
      </c>
      <c r="L418" s="763" t="b">
        <f>IF(E432=4,IF(F432=1,M426,IF(F432=2,M426,IF(F432=3,M426,IF(F432=4,L409,IF(F432=5,M409,IF(F432=6,N409,IF(F432=7,O409,IF(F432=8,P409,IF(F432=9,Q409,))))))))))</f>
        <v>0</v>
      </c>
      <c r="M418" s="818">
        <v>3</v>
      </c>
      <c r="N418" s="1101"/>
      <c r="O418" s="1101"/>
      <c r="P418" s="770" t="s">
        <v>13</v>
      </c>
      <c r="Q418" s="798" t="str">
        <f>IF(E432&gt;0,"N/A", "Interest Free")</f>
        <v>N/A</v>
      </c>
      <c r="R418" s="798"/>
      <c r="W418" s="1131" t="s">
        <v>134</v>
      </c>
      <c r="X418" s="1131"/>
      <c r="Y418" s="1131"/>
      <c r="Z418" s="745" t="b">
        <f>IF(E432=2,W423,IF(E432=3,X423,IF(E432=4,Y423,IF(E432=5,Z423))))</f>
        <v>0</v>
      </c>
      <c r="AA418" s="751"/>
      <c r="AC418" s="1121"/>
      <c r="AD418" s="1121"/>
      <c r="AE418" s="1121"/>
      <c r="AF418" s="1121"/>
      <c r="AG418" s="1121"/>
      <c r="AH418" s="1121"/>
      <c r="AI418" s="1121"/>
      <c r="AJ418" s="1121"/>
      <c r="AK418" s="1121"/>
      <c r="AL418" s="1121"/>
      <c r="AM418" s="1121"/>
      <c r="AN418" s="1121"/>
      <c r="AO418" s="1121"/>
      <c r="AP418" s="1121"/>
    </row>
    <row r="419" spans="2:42" s="744" customFormat="1" ht="13.5" hidden="1" customHeight="1" x14ac:dyDescent="0.25">
      <c r="B419" s="783" t="s">
        <v>35</v>
      </c>
      <c r="C419" s="759" t="s">
        <v>30</v>
      </c>
      <c r="D419" s="761">
        <f>D413+D418</f>
        <v>3951.84</v>
      </c>
      <c r="E419" s="759" t="s">
        <v>30</v>
      </c>
      <c r="F419" s="802">
        <f>F413+F418</f>
        <v>3543.24</v>
      </c>
      <c r="G419" s="749"/>
      <c r="H419" s="743"/>
      <c r="I419" s="743"/>
      <c r="J419" s="743"/>
      <c r="K419" s="812">
        <v>30</v>
      </c>
      <c r="L419" s="763" t="b">
        <f>IF(E432=5,IF(F432=1,M426,IF(F432=2,M426,IF(F432=3,M426,IF(F432=4,N410,IF(F432=5,P410,IF(F432=6,N410,IF(F432=7,O410,IF(F432=8,P410,IF(F432=9,Q410,))))))))))</f>
        <v>0</v>
      </c>
      <c r="M419" s="743" t="s">
        <v>232</v>
      </c>
      <c r="N419" s="743"/>
      <c r="O419" s="1099" t="s">
        <v>237</v>
      </c>
      <c r="P419" s="770" t="s">
        <v>16</v>
      </c>
      <c r="Q419" s="798" t="str">
        <f>IF(E432=1,"1 Mths 0% Interest",IF(E432=2,"N/A",IF(E432=3,"N/A",IF(E432=4,"N/A",IF(E432=5,"N/A",IF(E432=6,"N/A","N/A"))))))</f>
        <v>N/A</v>
      </c>
      <c r="R419" s="798"/>
      <c r="W419" s="786" t="s">
        <v>48</v>
      </c>
      <c r="X419" s="786" t="s">
        <v>49</v>
      </c>
      <c r="Y419" s="786" t="s">
        <v>50</v>
      </c>
      <c r="Z419" s="786" t="s">
        <v>242</v>
      </c>
      <c r="AA419" s="751"/>
      <c r="AD419" s="747"/>
      <c r="AE419" s="747"/>
      <c r="AF419" s="747"/>
      <c r="AG419" s="756"/>
      <c r="AH419" s="749"/>
      <c r="AI419" s="749"/>
      <c r="AK419" s="747"/>
      <c r="AL419" s="747"/>
      <c r="AM419" s="747"/>
      <c r="AN419" s="748"/>
      <c r="AO419" s="749"/>
    </row>
    <row r="420" spans="2:42" s="744" customFormat="1" ht="13.5" hidden="1" customHeight="1" x14ac:dyDescent="0.25">
      <c r="C420" s="840" t="s">
        <v>78</v>
      </c>
      <c r="D420" s="761">
        <f>PV(D421/12, D405, -D423)</f>
        <v>2438.0500000000002</v>
      </c>
      <c r="F420" s="761">
        <f>PV(F422/12, D405, -F423)</f>
        <v>2295.06</v>
      </c>
      <c r="H420" s="743"/>
      <c r="I420" s="743"/>
      <c r="J420" s="743"/>
      <c r="K420" s="812">
        <v>36</v>
      </c>
      <c r="L420" s="819">
        <f>IF(E432=6,IF(F432=7,O411,IF(F432=8,P411,IF(F432=9,Q411,IF(F432=10,R411)))))</f>
        <v>9.9299999999999999E-2</v>
      </c>
      <c r="M420" s="743" t="s">
        <v>233</v>
      </c>
      <c r="N420" s="743"/>
      <c r="O420" s="1099"/>
      <c r="P420" s="770" t="s">
        <v>226</v>
      </c>
      <c r="Q420" s="798" t="str">
        <f>IF(E432=1,"2 Mths 0% Interest",IF(E432=2,"2 Mths 0% Interest",IF(E432=3,"N/A",IF(E432=4,"N/A",IF(E432=5,"N/A",IF(E432=6,"N/A","N/A"))))))</f>
        <v>N/A</v>
      </c>
      <c r="R420" s="798"/>
      <c r="W420" s="745">
        <v>-0.03</v>
      </c>
      <c r="X420" s="745">
        <v>-1.4999999999999999E-2</v>
      </c>
      <c r="Y420" s="745">
        <v>0</v>
      </c>
      <c r="Z420" s="745">
        <v>1.4999999999999999E-2</v>
      </c>
      <c r="AA420" s="751"/>
      <c r="AB420" s="753"/>
      <c r="AD420" s="750"/>
      <c r="AE420" s="747"/>
      <c r="AF420" s="747"/>
      <c r="AG420" s="756"/>
      <c r="AH420" s="749"/>
      <c r="AK420" s="750"/>
      <c r="AL420" s="747"/>
      <c r="AM420" s="747"/>
      <c r="AN420" s="748"/>
      <c r="AO420" s="749"/>
    </row>
    <row r="421" spans="2:42" s="744" customFormat="1" ht="13.5" hidden="1" customHeight="1" x14ac:dyDescent="0.25">
      <c r="B421" s="787"/>
      <c r="C421" s="759" t="s">
        <v>36</v>
      </c>
      <c r="D421" s="820">
        <f>$D$406</f>
        <v>0.28449999999999998</v>
      </c>
      <c r="E421" s="759" t="s">
        <v>36</v>
      </c>
      <c r="F421" s="820">
        <f>$D$406</f>
        <v>0.28449999999999998</v>
      </c>
      <c r="G421" s="821"/>
      <c r="H421" s="743"/>
      <c r="I421" s="743"/>
      <c r="J421" s="743"/>
      <c r="K421" s="812">
        <v>42</v>
      </c>
      <c r="L421" s="819" t="b">
        <f>IF(E432=7,IF(F432=9,Q412,IF(F432=10,R412,IF(F432=11,S412,IF(F432=12,T412,IF(F432=13,U412))))))</f>
        <v>0</v>
      </c>
      <c r="M421" s="1115" t="s">
        <v>29</v>
      </c>
      <c r="N421" s="1115"/>
      <c r="O421" s="1100">
        <f>IF(F432&gt;2,F423,D423)</f>
        <v>90.09</v>
      </c>
      <c r="P421" s="770" t="s">
        <v>18</v>
      </c>
      <c r="Q421" s="798" t="str">
        <f>IF(E432=1,"3 Mths 0% Interest",IF(E432=2,"3 Mths 0% Interest",IF(E432=3,"3 Mths 0% Interest",IF(E432=4,"3 Mths 0% Interest",IF(E432=5,"N/A",IF(E432=6,"N/A","N/A"))))))</f>
        <v>N/A</v>
      </c>
      <c r="R421" s="798"/>
      <c r="W421" s="745">
        <v>-0.03</v>
      </c>
      <c r="X421" s="745">
        <v>-1.4999999999999999E-2</v>
      </c>
      <c r="Y421" s="745">
        <v>0</v>
      </c>
      <c r="Z421" s="745">
        <v>1.4999999999999999E-2</v>
      </c>
      <c r="AA421" s="751"/>
      <c r="AB421" s="757"/>
      <c r="AD421" s="747"/>
      <c r="AE421" s="747"/>
      <c r="AF421" s="747"/>
      <c r="AG421" s="756"/>
      <c r="AH421" s="749"/>
      <c r="AK421" s="747"/>
      <c r="AL421" s="747"/>
      <c r="AM421" s="747"/>
      <c r="AN421" s="748"/>
      <c r="AO421" s="749"/>
    </row>
    <row r="422" spans="2:42" s="744" customFormat="1" hidden="1" x14ac:dyDescent="0.25">
      <c r="B422" s="779"/>
      <c r="C422" s="822" t="s">
        <v>98</v>
      </c>
      <c r="D422" s="755">
        <f>RATE( D405,D423*-1,D414,0,0)*12</f>
        <v>0.33160000000000001</v>
      </c>
      <c r="E422" s="822" t="s">
        <v>98</v>
      </c>
      <c r="F422" s="755">
        <f>RATE( D405,F423*-1,F414,F421,0)*12</f>
        <v>0.2404</v>
      </c>
      <c r="G422" s="747"/>
      <c r="H422" s="743"/>
      <c r="I422" s="743"/>
      <c r="J422" s="743"/>
      <c r="K422" s="812">
        <v>48</v>
      </c>
      <c r="L422" s="819" t="b">
        <f>IF(E432=8,IF(F432=10,R413,IF(F432=11,S413,IF(F432=12,T413,IF(F432=13,U413)))))</f>
        <v>0</v>
      </c>
      <c r="M422" s="1115"/>
      <c r="N422" s="1115"/>
      <c r="O422" s="1100"/>
      <c r="P422" s="770" t="s">
        <v>229</v>
      </c>
      <c r="Q422" s="770" t="str">
        <f>IF(E432=1,"N/A",IF(E432=2,"4 Mths 0% Interest",IF(E432=3,"4 Mths 0% Interest",IF(E432=4,"4 Mths 0% Interest",IF(E432=5,"4 Mths 0% Interest",IF(E432=6,"N/A","N/A"))))))</f>
        <v>N/A</v>
      </c>
      <c r="R422" s="798"/>
      <c r="W422" s="745">
        <v>-0.03</v>
      </c>
      <c r="X422" s="745">
        <v>-1.4999999999999999E-2</v>
      </c>
      <c r="Y422" s="745">
        <v>0</v>
      </c>
      <c r="Z422" s="745">
        <v>1.4999999999999999E-2</v>
      </c>
      <c r="AA422" s="751"/>
      <c r="AB422" s="757"/>
      <c r="AC422" s="1121"/>
      <c r="AD422" s="1121"/>
      <c r="AE422" s="1121"/>
      <c r="AF422" s="1121"/>
      <c r="AG422" s="1121"/>
      <c r="AH422" s="1121"/>
      <c r="AI422" s="1121"/>
      <c r="AJ422" s="1121"/>
      <c r="AK422" s="1121"/>
      <c r="AL422" s="1121"/>
      <c r="AM422" s="1121"/>
      <c r="AN422" s="1121"/>
      <c r="AO422" s="1121"/>
      <c r="AP422" s="1121"/>
    </row>
    <row r="423" spans="2:42" s="744" customFormat="1" hidden="1" x14ac:dyDescent="0.25">
      <c r="B423" s="758"/>
      <c r="C423" s="759" t="s">
        <v>29</v>
      </c>
      <c r="D423" s="760">
        <f>PMT(D406/12,D405,-D414,,0)+O423</f>
        <v>101.44</v>
      </c>
      <c r="E423" s="759" t="s">
        <v>29</v>
      </c>
      <c r="F423" s="761">
        <f>PMT(D406/12,D405,-F414,0)-G415+O423</f>
        <v>90.09</v>
      </c>
      <c r="G423" s="747"/>
      <c r="H423" s="743"/>
      <c r="I423" s="743"/>
      <c r="J423" s="743"/>
      <c r="K423" s="798" t="s">
        <v>72</v>
      </c>
      <c r="L423" s="823">
        <f>IF(E432=1,L415,IF(E432=2,L416,IF(E432=3,L417,IF(E432=4,L418,IF(E432=5,L419,IF(E432=6,L420,IF(E432=7,L421,IF(E432=8,L422))))))))</f>
        <v>9.9299999999999999E-2</v>
      </c>
      <c r="M423" s="1097" t="s">
        <v>216</v>
      </c>
      <c r="N423" s="1097"/>
      <c r="O423" s="752">
        <v>5.95</v>
      </c>
      <c r="P423" s="770" t="s">
        <v>230</v>
      </c>
      <c r="Q423" s="770" t="str">
        <f>IF(E432=1,"N/A",IF(E432=2,"N/A",IF(E432=3,"N/A",IF(E432=4,"5 Mths 0% Interest",IF(E432=5,"5 Mths 0% Interest",IF(E432=6,"5 Mths 0% Interest",IF(E432=7,"N/A",IF(E432=8,"N/A","N/A"))))))))</f>
        <v>5 Mths 0% Interest</v>
      </c>
      <c r="R423" s="798"/>
      <c r="W423" s="745">
        <f>IF(N444&gt;6000,W422,IF(N444&gt;3000,W421,IF(N444&gt;499,W420,"Min $500")))</f>
        <v>-0.03</v>
      </c>
      <c r="X423" s="745">
        <f>IF(N444&gt;6000,X422,IF(N444&gt;3000,X421,IF(N444&gt;499,X420,"Min $500")))</f>
        <v>-1.4999999999999999E-2</v>
      </c>
      <c r="Y423" s="745">
        <f>IF(N444&gt;6000,Y422,IF(N444&gt;3000,Y421,IF(N444&gt;499,Y420,"Min $500")))</f>
        <v>0</v>
      </c>
      <c r="Z423" s="745">
        <f>IF(N444&gt;6000,Z422,IF(N444&gt;3000,Z421,IF(N444&gt;499,Z420,"Min $500")))</f>
        <v>1.4999999999999999E-2</v>
      </c>
      <c r="AA423" s="751"/>
      <c r="AB423" s="757"/>
      <c r="AD423" s="747"/>
      <c r="AE423" s="747"/>
      <c r="AF423" s="747"/>
      <c r="AG423" s="748"/>
      <c r="AH423" s="749"/>
      <c r="AK423" s="747"/>
      <c r="AL423" s="747"/>
      <c r="AM423" s="747"/>
      <c r="AN423" s="754"/>
      <c r="AO423" s="747"/>
    </row>
    <row r="424" spans="2:42" s="744" customFormat="1" hidden="1" x14ac:dyDescent="0.25">
      <c r="B424" s="758"/>
      <c r="C424" s="759"/>
      <c r="D424" s="760"/>
      <c r="E424" s="759"/>
      <c r="F424" s="761"/>
      <c r="G424" s="747"/>
      <c r="H424" s="743"/>
      <c r="I424" s="743"/>
      <c r="J424" s="743"/>
      <c r="K424" s="1097" t="s">
        <v>91</v>
      </c>
      <c r="L424" s="1097"/>
      <c r="M424" s="763">
        <v>0.28449999999999998</v>
      </c>
      <c r="N424" s="841" t="s">
        <v>240</v>
      </c>
      <c r="O424" s="818">
        <v>95</v>
      </c>
      <c r="P424" s="762"/>
      <c r="Q424" s="770" t="str">
        <f>IF(E432=1,"N/A",IF(E432=2,"N/A",IF(E432=3,"N/A",IF(E432=4,"6 Mths 0% Interest",IF(E432=5,"6 Mths 0% Interest",IF(E432=6,"6 Mths 0% Interest",IF(E432=7,"6 Mths 0% Interest",IF(E432=8,"N/A","N,A"))))))))</f>
        <v>6 Mths 0% Interest</v>
      </c>
      <c r="R424" s="798"/>
      <c r="AA424" s="751"/>
      <c r="AB424" s="757"/>
      <c r="AD424" s="747"/>
      <c r="AE424" s="747"/>
      <c r="AF424" s="747"/>
      <c r="AG424" s="748"/>
      <c r="AH424" s="749"/>
      <c r="AK424" s="747"/>
      <c r="AL424" s="747"/>
      <c r="AM424" s="747"/>
      <c r="AN424" s="754"/>
      <c r="AO424" s="747"/>
    </row>
    <row r="425" spans="2:42" s="744" customFormat="1" ht="16.2" hidden="1" customHeight="1" x14ac:dyDescent="0.25">
      <c r="C425" s="749"/>
      <c r="F425" s="798"/>
      <c r="G425" s="747"/>
      <c r="H425" s="743"/>
      <c r="I425" s="743"/>
      <c r="J425" s="743"/>
      <c r="K425" s="1097" t="s">
        <v>92</v>
      </c>
      <c r="L425" s="1097"/>
      <c r="M425" s="763">
        <v>0.28449999999999998</v>
      </c>
      <c r="N425" s="841" t="s">
        <v>239</v>
      </c>
      <c r="O425" s="818">
        <v>95</v>
      </c>
      <c r="P425" s="762"/>
      <c r="Q425" s="798" t="str">
        <f>IF(E432=1,"N/A",IF(E432=2,"N/A",IF(E432=3,"N/A",IF(E432=4,"N/A",IF(E432=5,"N/A",IF(E432=6,"7 Mths 0% Interest",IF(E432=7,"7 Mths 0% Interest",IF(E432=8,"7 Mths 0% Interest","N/A"))))))))</f>
        <v>7 Mths 0% Interest</v>
      </c>
      <c r="W425" s="842" t="s">
        <v>235</v>
      </c>
      <c r="X425" s="842"/>
      <c r="Y425" s="842"/>
      <c r="Z425" s="745">
        <f>IF(E432=4,W430,IF(E432=5,X430,IF(E432=6,Y430,IF(E432=7,Z430))))</f>
        <v>0.01</v>
      </c>
      <c r="AA425" s="751"/>
      <c r="AB425" s="757"/>
      <c r="AD425" s="747"/>
      <c r="AE425" s="747"/>
      <c r="AF425" s="747"/>
      <c r="AG425" s="748"/>
      <c r="AH425" s="749"/>
      <c r="AK425" s="747"/>
      <c r="AL425" s="747"/>
      <c r="AM425" s="747"/>
      <c r="AN425" s="754"/>
      <c r="AO425" s="747"/>
    </row>
    <row r="426" spans="2:42" s="744" customFormat="1" hidden="1" x14ac:dyDescent="0.25">
      <c r="C426" s="843"/>
      <c r="G426" s="747"/>
      <c r="H426" s="743"/>
      <c r="I426" s="743"/>
      <c r="J426" s="743"/>
      <c r="K426" s="798" t="s">
        <v>65</v>
      </c>
      <c r="L426" s="844">
        <v>1</v>
      </c>
      <c r="M426" s="763">
        <f>IF(L426=2,M425, IF(L426=1,M424))</f>
        <v>0.28449999999999998</v>
      </c>
      <c r="N426" s="798"/>
      <c r="O426" s="764">
        <f>IF(L426=2,O425, IF(L426=1,O424))</f>
        <v>95</v>
      </c>
      <c r="P426" s="762"/>
      <c r="Q426" s="798" t="str">
        <f>IF(E432=1,"N/A",IF(E432=2,"N/A",IF(E432=3,"N/A",IF(E432=4,"N/A",IF(E432=5,"N/A",IF(E432=6,"N/A",IF(E432=7,"8 Mths 0% Interest",IF(E432=8,"8 Mths 0% Interest","N/A"))))))))</f>
        <v>N/A</v>
      </c>
      <c r="W426" s="786" t="s">
        <v>50</v>
      </c>
      <c r="X426" s="786" t="s">
        <v>242</v>
      </c>
      <c r="Y426" s="786" t="s">
        <v>51</v>
      </c>
      <c r="Z426" s="786" t="s">
        <v>234</v>
      </c>
      <c r="AA426" s="751"/>
      <c r="AB426" s="757"/>
      <c r="AD426" s="747"/>
      <c r="AE426" s="747"/>
      <c r="AF426" s="747"/>
      <c r="AG426" s="748"/>
      <c r="AH426" s="749"/>
      <c r="AK426" s="747"/>
      <c r="AL426" s="747"/>
      <c r="AM426" s="747"/>
      <c r="AN426" s="754"/>
      <c r="AO426" s="747"/>
    </row>
    <row r="427" spans="2:42" s="744" customFormat="1" hidden="1" x14ac:dyDescent="0.25">
      <c r="C427" s="843"/>
      <c r="G427" s="747"/>
      <c r="H427" s="743"/>
      <c r="I427" s="743"/>
      <c r="J427" s="743"/>
      <c r="K427" s="798"/>
      <c r="L427" s="844"/>
      <c r="M427" s="763"/>
      <c r="N427" s="798"/>
      <c r="O427" s="764"/>
      <c r="P427" s="762"/>
      <c r="Q427" s="798" t="str">
        <f>IF(E432=1,"N/A",IF(E432=2,"N/A",IF(E432=3,"N/A",IF(E432=4,"N/A",IF(E432=5,"N/A",IF(E432=6,"N/A",IF(E432=7,"9 Mths 0% Interest",IF(E432=8,"9 Mths 0% Interest"))))))))</f>
        <v>N/A</v>
      </c>
      <c r="R427" s="798"/>
      <c r="W427" s="745">
        <v>-1.4999999999999999E-2</v>
      </c>
      <c r="X427" s="745">
        <v>0</v>
      </c>
      <c r="Y427" s="745">
        <v>0.01</v>
      </c>
      <c r="Z427" s="745">
        <v>1.4999999999999999E-2</v>
      </c>
      <c r="AA427" s="751"/>
      <c r="AB427" s="757"/>
      <c r="AD427" s="747"/>
      <c r="AE427" s="747"/>
      <c r="AF427" s="747"/>
      <c r="AG427" s="748"/>
      <c r="AH427" s="749"/>
      <c r="AK427" s="747"/>
      <c r="AL427" s="747"/>
      <c r="AM427" s="747"/>
      <c r="AN427" s="754"/>
      <c r="AO427" s="747"/>
    </row>
    <row r="428" spans="2:42" s="744" customFormat="1" hidden="1" x14ac:dyDescent="0.25">
      <c r="C428" s="843"/>
      <c r="G428" s="747"/>
      <c r="H428" s="743"/>
      <c r="I428" s="743"/>
      <c r="J428" s="743"/>
      <c r="K428" s="798"/>
      <c r="L428" s="844"/>
      <c r="M428" s="763"/>
      <c r="N428" s="798"/>
      <c r="O428" s="764"/>
      <c r="P428" s="762"/>
      <c r="Q428" s="770" t="str">
        <f>IF(E432=7,"N/A",IF(E432=8,"12 Mths 0% Interest","N/A"))</f>
        <v>N/A</v>
      </c>
      <c r="R428" s="798"/>
      <c r="W428" s="745">
        <v>-1.4999999999999999E-2</v>
      </c>
      <c r="X428" s="745">
        <v>0</v>
      </c>
      <c r="Y428" s="745">
        <v>0.01</v>
      </c>
      <c r="Z428" s="745">
        <v>1.4999999999999999E-2</v>
      </c>
      <c r="AA428" s="751"/>
      <c r="AB428" s="757"/>
      <c r="AD428" s="747"/>
      <c r="AE428" s="747"/>
      <c r="AF428" s="747"/>
      <c r="AG428" s="748"/>
      <c r="AH428" s="749"/>
      <c r="AK428" s="747"/>
      <c r="AL428" s="747"/>
      <c r="AM428" s="747"/>
      <c r="AN428" s="754"/>
      <c r="AO428" s="747"/>
    </row>
    <row r="429" spans="2:42" s="744" customFormat="1" hidden="1" x14ac:dyDescent="0.25">
      <c r="C429" s="843"/>
      <c r="G429" s="747"/>
      <c r="H429" s="743"/>
      <c r="I429" s="743"/>
      <c r="J429" s="743"/>
      <c r="W429" s="745">
        <v>-1.4999999999999999E-2</v>
      </c>
      <c r="X429" s="745">
        <v>0</v>
      </c>
      <c r="Y429" s="745">
        <v>0.01</v>
      </c>
      <c r="Z429" s="745">
        <v>1.4999999999999999E-2</v>
      </c>
      <c r="AA429" s="751"/>
      <c r="AB429" s="757"/>
      <c r="AD429" s="747"/>
      <c r="AE429" s="747"/>
      <c r="AF429" s="747"/>
      <c r="AG429" s="748"/>
      <c r="AH429" s="749"/>
      <c r="AK429" s="747"/>
      <c r="AL429" s="747"/>
      <c r="AM429" s="747"/>
      <c r="AN429" s="754"/>
      <c r="AO429" s="747"/>
    </row>
    <row r="430" spans="2:42" s="744" customFormat="1" hidden="1" x14ac:dyDescent="0.25">
      <c r="B430" s="758"/>
      <c r="C430" s="759"/>
      <c r="D430" s="760"/>
      <c r="E430" s="759"/>
      <c r="F430" s="761"/>
      <c r="G430" s="747"/>
      <c r="H430" s="743"/>
      <c r="I430" s="743"/>
      <c r="J430" s="743"/>
      <c r="L430" s="765"/>
      <c r="M430" s="747"/>
      <c r="N430" s="766"/>
      <c r="O430" s="767"/>
      <c r="P430" s="767"/>
      <c r="Q430" s="768"/>
      <c r="W430" s="745">
        <f>IF(N444&gt;6000,W429,IF(N444&gt;3000,W428,IF(N444&gt;499,W427,"Min $500")))</f>
        <v>-1.4999999999999999E-2</v>
      </c>
      <c r="X430" s="745">
        <f>IF(N444&gt;6000,X429,IF(N444&gt;3000,X428,IF(N444&gt;499,X427,"Min $500")))</f>
        <v>0</v>
      </c>
      <c r="Y430" s="745">
        <f>IF(N444&gt;6000,Y429,IF(N444&gt;3000,Y428,IF(N444&gt;499,Y427,"Min $500")))</f>
        <v>0.01</v>
      </c>
      <c r="Z430" s="745">
        <f>IF(N444&gt;6000,Z429,IF(N444&gt;3000,Z428,IF(N444&gt;499,Z427,"Min $500")))</f>
        <v>1.4999999999999999E-2</v>
      </c>
      <c r="AA430" s="751"/>
      <c r="AB430" s="757"/>
      <c r="AD430" s="747"/>
      <c r="AE430" s="747"/>
      <c r="AF430" s="747"/>
      <c r="AG430" s="748"/>
      <c r="AH430" s="749"/>
      <c r="AK430" s="747"/>
      <c r="AL430" s="747"/>
      <c r="AM430" s="747"/>
      <c r="AN430" s="754"/>
      <c r="AO430" s="747"/>
    </row>
    <row r="431" spans="2:42" s="744" customFormat="1" hidden="1" x14ac:dyDescent="0.25">
      <c r="D431" s="752" t="s">
        <v>94</v>
      </c>
      <c r="E431" s="845" t="s">
        <v>2</v>
      </c>
      <c r="F431" s="845" t="s">
        <v>147</v>
      </c>
      <c r="G431" s="752" t="s">
        <v>101</v>
      </c>
      <c r="K431" s="1104" t="s">
        <v>153</v>
      </c>
      <c r="L431" s="1104"/>
      <c r="M431" s="1104"/>
      <c r="N431" s="745">
        <f>IF(F432=4,X404,IF(F432=5,Z404,IF(F432=6,Z411,IF(F432=7,Z418,IF(F432=8,Z425,IF(F432=9,Z432,IF(F432=10,X439,IF(F432=11,Z439,IF(F432=12,W446,IF(F432=13,Z446))))))))))</f>
        <v>0</v>
      </c>
      <c r="O431" s="1104" t="s">
        <v>152</v>
      </c>
      <c r="P431" s="1104"/>
      <c r="Q431" s="1104"/>
      <c r="R431" s="755" t="b">
        <f>IF(F432=3,S459)</f>
        <v>0</v>
      </c>
      <c r="S431" s="769">
        <f>IF(F432=3,R431,N431)</f>
        <v>0</v>
      </c>
      <c r="T431" s="769"/>
      <c r="U431" s="769"/>
      <c r="AA431" s="751"/>
      <c r="AB431" s="753"/>
      <c r="AD431" s="747"/>
      <c r="AE431" s="747"/>
      <c r="AF431" s="747"/>
      <c r="AG431" s="748"/>
      <c r="AH431" s="749"/>
      <c r="AK431" s="747"/>
      <c r="AL431" s="747"/>
      <c r="AM431" s="747"/>
      <c r="AN431" s="754"/>
      <c r="AO431" s="749"/>
    </row>
    <row r="432" spans="2:42" s="744" customFormat="1" hidden="1" x14ac:dyDescent="0.25">
      <c r="C432" s="824">
        <f>IF(D432=1,IF(F406&lt;D406,F422,IF(F406&gt;D406,"N/A",IF(F406=D406,"N/A"))))</f>
        <v>0.2404</v>
      </c>
      <c r="D432" s="846">
        <v>1</v>
      </c>
      <c r="E432" s="812">
        <v>6</v>
      </c>
      <c r="F432" s="812">
        <v>9</v>
      </c>
      <c r="G432" s="816" t="str">
        <f>IF(F422&lt;D406,"Interest Rate",IF(F422&gt;D406,"Interest Free"))</f>
        <v>Interest Rate</v>
      </c>
      <c r="K432" s="1117" t="s">
        <v>159</v>
      </c>
      <c r="L432" s="1117"/>
      <c r="M432" s="1117"/>
      <c r="N432" s="776" t="s">
        <v>155</v>
      </c>
      <c r="O432" s="776" t="s">
        <v>156</v>
      </c>
      <c r="P432" s="1097" t="s">
        <v>157</v>
      </c>
      <c r="Q432" s="1097"/>
      <c r="R432" s="1097" t="s">
        <v>211</v>
      </c>
      <c r="S432" s="1097"/>
      <c r="T432" s="752"/>
      <c r="U432" s="752"/>
      <c r="V432" s="1117" t="s">
        <v>149</v>
      </c>
      <c r="W432" s="1117"/>
      <c r="X432" s="788" t="s">
        <v>53</v>
      </c>
      <c r="Y432" s="788">
        <f>N444</f>
        <v>2200</v>
      </c>
      <c r="Z432" s="755">
        <f>IF(E432=4,V437,IF(E432=5,W437,IF(E432=6,X437,IF(E432=7,Y437,IF(E432=8,Z437)))))</f>
        <v>0</v>
      </c>
      <c r="AA432" s="751"/>
      <c r="AB432" s="770"/>
      <c r="AC432" s="1121"/>
      <c r="AD432" s="1121"/>
      <c r="AE432" s="1121"/>
      <c r="AF432" s="1121"/>
      <c r="AG432" s="1121"/>
      <c r="AH432" s="1121"/>
      <c r="AI432" s="1121"/>
      <c r="AJ432" s="1121"/>
      <c r="AK432" s="1121"/>
      <c r="AL432" s="1121"/>
      <c r="AM432" s="1121"/>
      <c r="AN432" s="1121"/>
      <c r="AO432" s="1121"/>
      <c r="AP432" s="1121"/>
    </row>
    <row r="433" spans="2:42" s="744" customFormat="1" ht="13.5" hidden="1" customHeight="1" x14ac:dyDescent="0.25">
      <c r="C433" s="824" t="b">
        <f>IF(D432=2,"N/A")</f>
        <v>0</v>
      </c>
      <c r="D433" s="744" t="s">
        <v>124</v>
      </c>
      <c r="E433" s="747"/>
      <c r="F433" s="847"/>
      <c r="G433" s="816">
        <f>IF(F422&lt;D406,F422, "For Promotion Term")</f>
        <v>0.2404</v>
      </c>
      <c r="K433" s="1117"/>
      <c r="L433" s="1117"/>
      <c r="M433" s="1117"/>
      <c r="N433" s="845">
        <f>G443*S431</f>
        <v>0</v>
      </c>
      <c r="O433" s="839">
        <f>$S$435</f>
        <v>200.41</v>
      </c>
      <c r="P433" s="1130">
        <f>S435-G447</f>
        <v>200.41</v>
      </c>
      <c r="Q433" s="1130"/>
      <c r="R433" s="1130">
        <f>S435-G447+F411-10</f>
        <v>285.41000000000003</v>
      </c>
      <c r="S433" s="1130"/>
      <c r="T433" s="771"/>
      <c r="U433" s="771"/>
      <c r="V433" s="781" t="s">
        <v>50</v>
      </c>
      <c r="W433" s="786" t="s">
        <v>242</v>
      </c>
      <c r="X433" s="781" t="s">
        <v>51</v>
      </c>
      <c r="Y433" s="786" t="s">
        <v>234</v>
      </c>
      <c r="Z433" s="781" t="s">
        <v>104</v>
      </c>
      <c r="AA433" s="751"/>
      <c r="AB433" s="770"/>
      <c r="AC433" s="742"/>
      <c r="AD433" s="750"/>
      <c r="AE433" s="750"/>
      <c r="AF433" s="750"/>
      <c r="AG433" s="755"/>
      <c r="AH433" s="749"/>
      <c r="AI433" s="742"/>
      <c r="AJ433" s="742"/>
      <c r="AK433" s="750"/>
      <c r="AL433" s="750"/>
      <c r="AM433" s="750"/>
      <c r="AN433" s="772"/>
      <c r="AO433" s="749"/>
      <c r="AP433" s="742"/>
    </row>
    <row r="434" spans="2:42" s="744" customFormat="1" ht="13.5" hidden="1" customHeight="1" x14ac:dyDescent="0.25">
      <c r="C434" s="824">
        <f>IF(D432=1,C432, IF(D432=2,C433))</f>
        <v>0.2404</v>
      </c>
      <c r="D434" s="744" t="s">
        <v>125</v>
      </c>
      <c r="G434" s="816">
        <f>IF(F432&gt;2,G433," ")</f>
        <v>0.2404</v>
      </c>
      <c r="H434" s="773"/>
      <c r="K434" s="825" t="s">
        <v>54</v>
      </c>
      <c r="L434" s="825" t="s">
        <v>151</v>
      </c>
      <c r="M434" s="825" t="s">
        <v>2</v>
      </c>
      <c r="N434" s="774" t="s">
        <v>56</v>
      </c>
      <c r="O434" s="825" t="s">
        <v>57</v>
      </c>
      <c r="P434" s="752"/>
      <c r="Q434" s="774" t="s">
        <v>58</v>
      </c>
      <c r="R434" s="825" t="s">
        <v>59</v>
      </c>
      <c r="S434" s="774" t="s">
        <v>60</v>
      </c>
      <c r="T434" s="774"/>
      <c r="U434" s="774"/>
      <c r="V434" s="755">
        <v>-2.5000000000000001E-2</v>
      </c>
      <c r="W434" s="745">
        <v>-1.4999999999999999E-2</v>
      </c>
      <c r="X434" s="755">
        <v>0</v>
      </c>
      <c r="Y434" s="745">
        <v>0.01</v>
      </c>
      <c r="Z434" s="755">
        <v>1.4999999999999999E-2</v>
      </c>
      <c r="AA434" s="751"/>
      <c r="AB434" s="770"/>
      <c r="AC434" s="742"/>
      <c r="AD434" s="750"/>
      <c r="AE434" s="750"/>
      <c r="AF434" s="750"/>
      <c r="AG434" s="748"/>
      <c r="AH434" s="749"/>
      <c r="AI434" s="742"/>
      <c r="AJ434" s="742"/>
      <c r="AK434" s="750"/>
      <c r="AL434" s="750"/>
      <c r="AM434" s="750"/>
      <c r="AN434" s="772"/>
      <c r="AO434" s="749"/>
      <c r="AP434" s="742"/>
    </row>
    <row r="435" spans="2:42" s="744" customFormat="1" hidden="1" x14ac:dyDescent="0.25">
      <c r="H435" s="773"/>
      <c r="K435" s="1117">
        <f>$D$414</f>
        <v>2295</v>
      </c>
      <c r="L435" s="1116">
        <f>$O$417</f>
        <v>6</v>
      </c>
      <c r="M435" s="1116">
        <f>$N$417</f>
        <v>36</v>
      </c>
      <c r="N435" s="1127">
        <f>IF(F432=1,D421,$F$422)</f>
        <v>0.2404</v>
      </c>
      <c r="O435" s="1127">
        <v>0.17899999999999999</v>
      </c>
      <c r="P435" s="848"/>
      <c r="Q435" s="1126">
        <f>PMT(N435/12, M435,-K435)</f>
        <v>90.09</v>
      </c>
      <c r="R435" s="1126">
        <f>PV(O435/12, M435, -Q435)</f>
        <v>2495.41</v>
      </c>
      <c r="S435" s="1126">
        <f>R435-K435</f>
        <v>200.41</v>
      </c>
      <c r="T435" s="775"/>
      <c r="U435" s="775"/>
      <c r="V435" s="755">
        <v>-2.5000000000000001E-2</v>
      </c>
      <c r="W435" s="745">
        <v>-1.4999999999999999E-2</v>
      </c>
      <c r="X435" s="755">
        <v>0</v>
      </c>
      <c r="Y435" s="745">
        <v>0.01</v>
      </c>
      <c r="Z435" s="755">
        <v>1.4999999999999999E-2</v>
      </c>
      <c r="AA435" s="751"/>
      <c r="AC435" s="742"/>
      <c r="AD435" s="750"/>
      <c r="AE435" s="750"/>
      <c r="AF435" s="750"/>
      <c r="AG435" s="748"/>
      <c r="AH435" s="749"/>
      <c r="AI435" s="742"/>
      <c r="AJ435" s="742"/>
      <c r="AK435" s="747"/>
      <c r="AL435" s="750"/>
      <c r="AM435" s="750"/>
      <c r="AN435" s="772"/>
      <c r="AO435" s="749"/>
      <c r="AP435" s="742"/>
    </row>
    <row r="436" spans="2:42" s="744" customFormat="1" ht="16.5" hidden="1" customHeight="1" x14ac:dyDescent="0.25">
      <c r="C436" s="1112" t="s">
        <v>75</v>
      </c>
      <c r="D436" s="1112"/>
      <c r="E436" s="1112"/>
      <c r="F436" s="1112"/>
      <c r="G436" s="1113">
        <f>$D$415</f>
        <v>1142.6400000000001</v>
      </c>
      <c r="K436" s="1117"/>
      <c r="L436" s="1116"/>
      <c r="M436" s="1116"/>
      <c r="N436" s="1127"/>
      <c r="O436" s="1127"/>
      <c r="P436" s="848"/>
      <c r="Q436" s="1126"/>
      <c r="R436" s="1126"/>
      <c r="S436" s="1126"/>
      <c r="T436" s="775"/>
      <c r="U436" s="775"/>
      <c r="V436" s="755">
        <v>-2.5000000000000001E-2</v>
      </c>
      <c r="W436" s="745">
        <v>-1.4999999999999999E-2</v>
      </c>
      <c r="X436" s="755">
        <v>0</v>
      </c>
      <c r="Y436" s="745">
        <v>0.01</v>
      </c>
      <c r="Z436" s="755">
        <v>1.4999999999999999E-2</v>
      </c>
      <c r="AA436" s="747"/>
      <c r="AB436" s="747"/>
      <c r="AC436" s="747"/>
      <c r="AD436" s="747"/>
      <c r="AE436" s="747"/>
      <c r="AF436" s="747"/>
      <c r="AG436" s="747"/>
      <c r="AH436" s="747"/>
      <c r="AI436" s="747"/>
      <c r="AJ436" s="747"/>
      <c r="AK436" s="747"/>
      <c r="AL436" s="747"/>
      <c r="AM436" s="747"/>
      <c r="AN436" s="747"/>
      <c r="AO436" s="747"/>
      <c r="AP436" s="747"/>
    </row>
    <row r="437" spans="2:42" s="744" customFormat="1" ht="15.75" hidden="1" customHeight="1" x14ac:dyDescent="0.25">
      <c r="C437" s="1112"/>
      <c r="D437" s="1112"/>
      <c r="E437" s="1112"/>
      <c r="F437" s="1112"/>
      <c r="G437" s="1113"/>
      <c r="I437" s="773"/>
      <c r="J437" s="773"/>
      <c r="V437" s="755">
        <f>IF(Y432&gt;6000,V436, IF(Y432&gt;3000,V435, IF(Y432&gt;499,V434, "Min $500")))</f>
        <v>-2.5000000000000001E-2</v>
      </c>
      <c r="W437" s="745">
        <f>IF(Y432&gt;6000,W436,IF(Y432&gt;3000,W435,IF(Y432&gt;499,W434,"Min $500")))</f>
        <v>-1.4999999999999999E-2</v>
      </c>
      <c r="X437" s="755">
        <f>IF(Y432&gt;6000,X436, IF(Y432&gt;3000,X435, IF(Y432&gt;499,X434, "Min $500")))</f>
        <v>0</v>
      </c>
      <c r="Y437" s="745">
        <f>IF(Y432&gt;6000,Y436,IF(Y432&gt;3000,Y435,IF(Y432&gt;499,Y434,"Min $500")))</f>
        <v>0.01</v>
      </c>
      <c r="Z437" s="755">
        <f>IF(Y432&gt;6000,Z436, IF(Y432&gt;3000,Z435, IF(Y432&gt;499,Z434, "Min $500")))</f>
        <v>1.4999999999999999E-2</v>
      </c>
      <c r="AA437" s="747"/>
      <c r="AB437" s="747"/>
      <c r="AC437" s="747"/>
      <c r="AD437" s="747"/>
      <c r="AE437" s="747"/>
      <c r="AF437" s="747"/>
      <c r="AG437" s="747"/>
      <c r="AH437" s="747"/>
      <c r="AI437" s="747"/>
      <c r="AJ437" s="747"/>
      <c r="AK437" s="747"/>
      <c r="AL437" s="747"/>
      <c r="AM437" s="747"/>
      <c r="AN437" s="747"/>
      <c r="AO437" s="747"/>
      <c r="AP437" s="747"/>
    </row>
    <row r="438" spans="2:42" s="749" customFormat="1" hidden="1" x14ac:dyDescent="0.25">
      <c r="B438" s="744"/>
      <c r="C438" s="1112" t="s">
        <v>64</v>
      </c>
      <c r="D438" s="1112"/>
      <c r="E438" s="1112"/>
      <c r="F438" s="1112"/>
      <c r="G438" s="1113">
        <f>IF(F432=1,0,IF(F432=2,0,IF(F432=3,0,IF(F432&gt;3,G436-G440))))</f>
        <v>734.04</v>
      </c>
      <c r="I438" s="744"/>
      <c r="J438" s="744"/>
      <c r="K438" s="1117" t="s">
        <v>158</v>
      </c>
      <c r="L438" s="1117"/>
      <c r="M438" s="1117"/>
      <c r="N438" s="776" t="s">
        <v>155</v>
      </c>
      <c r="O438" s="776" t="s">
        <v>156</v>
      </c>
      <c r="P438" s="1111" t="s">
        <v>157</v>
      </c>
      <c r="Q438" s="1111"/>
      <c r="R438" s="1111" t="s">
        <v>211</v>
      </c>
      <c r="S438" s="1111"/>
      <c r="T438" s="776"/>
      <c r="U438" s="776"/>
      <c r="AA438" s="747"/>
      <c r="AB438" s="747"/>
      <c r="AC438" s="747"/>
      <c r="AD438" s="747"/>
      <c r="AE438" s="747"/>
      <c r="AF438" s="747"/>
      <c r="AG438" s="747"/>
      <c r="AH438" s="747"/>
      <c r="AI438" s="747"/>
      <c r="AJ438" s="747"/>
      <c r="AK438" s="747"/>
      <c r="AL438" s="747"/>
      <c r="AM438" s="747"/>
      <c r="AN438" s="747"/>
      <c r="AO438" s="747"/>
      <c r="AP438" s="747"/>
    </row>
    <row r="439" spans="2:42" s="744" customFormat="1" hidden="1" x14ac:dyDescent="0.25">
      <c r="C439" s="1112"/>
      <c r="D439" s="1112"/>
      <c r="E439" s="1112"/>
      <c r="F439" s="1112"/>
      <c r="G439" s="1113"/>
      <c r="K439" s="1117"/>
      <c r="L439" s="1117"/>
      <c r="M439" s="1117"/>
      <c r="N439" s="848">
        <f>G443*S459*(-1)</f>
        <v>0</v>
      </c>
      <c r="O439" s="848">
        <f>K441*R459*(-1)</f>
        <v>0</v>
      </c>
      <c r="P439" s="1130">
        <f>O439-N439</f>
        <v>0</v>
      </c>
      <c r="Q439" s="1130"/>
      <c r="R439" s="1130">
        <f>P439*(1)+F411-10</f>
        <v>85</v>
      </c>
      <c r="S439" s="1130"/>
      <c r="T439" s="771"/>
      <c r="U439" s="771"/>
      <c r="V439" s="1131" t="s">
        <v>249</v>
      </c>
      <c r="W439" s="1131"/>
      <c r="X439" s="745">
        <f>IF(E432=6,V444,IF(E432=7,W444,IF(E432=8,X444)))</f>
        <v>-1.4999999999999999E-2</v>
      </c>
      <c r="Y439" s="842" t="s">
        <v>250</v>
      </c>
      <c r="Z439" s="745" t="b">
        <f>IF(E432=7,Y444,IF(E432=8,Z444))</f>
        <v>0</v>
      </c>
      <c r="AA439" s="747"/>
      <c r="AB439" s="747"/>
      <c r="AC439" s="747"/>
      <c r="AD439" s="747"/>
      <c r="AE439" s="747"/>
      <c r="AF439" s="747"/>
      <c r="AG439" s="747"/>
      <c r="AH439" s="747"/>
      <c r="AI439" s="747"/>
      <c r="AJ439" s="747"/>
      <c r="AK439" s="747"/>
      <c r="AL439" s="747"/>
      <c r="AM439" s="747"/>
      <c r="AN439" s="747"/>
      <c r="AO439" s="747"/>
      <c r="AP439" s="747"/>
    </row>
    <row r="440" spans="2:42" s="744" customFormat="1" hidden="1" x14ac:dyDescent="0.25">
      <c r="C440" s="1112" t="s">
        <v>46</v>
      </c>
      <c r="D440" s="1112"/>
      <c r="E440" s="1112"/>
      <c r="F440" s="1112"/>
      <c r="G440" s="1113">
        <f>IF($F432=1,0,IF($F432=2,0,IF($F432=3,D415,IF($F432&gt;3,D415-F415))))</f>
        <v>408.6</v>
      </c>
      <c r="J440" s="777"/>
      <c r="K440" s="825" t="s">
        <v>54</v>
      </c>
      <c r="L440" s="849" t="s">
        <v>55</v>
      </c>
      <c r="M440" s="825" t="s">
        <v>2</v>
      </c>
      <c r="N440" s="774" t="s">
        <v>56</v>
      </c>
      <c r="O440" s="825" t="s">
        <v>57</v>
      </c>
      <c r="P440" s="744" t="s">
        <v>154</v>
      </c>
      <c r="Q440" s="774" t="s">
        <v>58</v>
      </c>
      <c r="R440" s="825" t="s">
        <v>59</v>
      </c>
      <c r="S440" s="774" t="s">
        <v>60</v>
      </c>
      <c r="T440" s="774"/>
      <c r="U440" s="774"/>
      <c r="V440" s="786" t="s">
        <v>51</v>
      </c>
      <c r="W440" s="786" t="s">
        <v>234</v>
      </c>
      <c r="X440" s="786" t="s">
        <v>104</v>
      </c>
      <c r="Y440" s="786" t="s">
        <v>234</v>
      </c>
      <c r="Z440" s="786" t="s">
        <v>104</v>
      </c>
      <c r="AA440" s="747"/>
      <c r="AB440" s="747"/>
      <c r="AC440" s="747"/>
      <c r="AD440" s="747"/>
      <c r="AE440" s="747"/>
      <c r="AF440" s="747"/>
      <c r="AG440" s="747"/>
      <c r="AH440" s="747"/>
      <c r="AI440" s="747"/>
      <c r="AJ440" s="747"/>
      <c r="AK440" s="747"/>
      <c r="AL440" s="747"/>
      <c r="AM440" s="747"/>
      <c r="AN440" s="747"/>
      <c r="AO440" s="747"/>
      <c r="AP440" s="747"/>
    </row>
    <row r="441" spans="2:42" s="744" customFormat="1" hidden="1" x14ac:dyDescent="0.25">
      <c r="C441" s="1112"/>
      <c r="D441" s="1112"/>
      <c r="E441" s="1112"/>
      <c r="F441" s="1112"/>
      <c r="G441" s="1113"/>
      <c r="H441" s="749"/>
      <c r="J441" s="778"/>
      <c r="K441" s="1117">
        <f>$D$414</f>
        <v>2295</v>
      </c>
      <c r="L441" s="1116">
        <f>$N$417</f>
        <v>36</v>
      </c>
      <c r="M441" s="1116">
        <f>$N$417</f>
        <v>36</v>
      </c>
      <c r="N441" s="1127">
        <v>0</v>
      </c>
      <c r="O441" s="1127">
        <v>0.17899999999999999</v>
      </c>
      <c r="P441" s="1117">
        <f>K441*R459</f>
        <v>0</v>
      </c>
      <c r="Q441" s="1126">
        <f>PMT(N441/12, M441,-K441)</f>
        <v>63.75</v>
      </c>
      <c r="R441" s="1126">
        <f>PV(O441/12, M441, -Q441)</f>
        <v>1765.82</v>
      </c>
      <c r="S441" s="1126">
        <f>R441-K441</f>
        <v>-529.17999999999995</v>
      </c>
      <c r="T441" s="775"/>
      <c r="U441" s="775"/>
      <c r="V441" s="745">
        <v>-1.4999999999999999E-2</v>
      </c>
      <c r="W441" s="745">
        <v>0</v>
      </c>
      <c r="X441" s="745">
        <v>0.01</v>
      </c>
      <c r="Y441" s="745">
        <v>-1.4999999999999999E-2</v>
      </c>
      <c r="Z441" s="745">
        <v>0</v>
      </c>
      <c r="AA441" s="747"/>
      <c r="AB441" s="747"/>
      <c r="AC441" s="747"/>
      <c r="AD441" s="747"/>
      <c r="AE441" s="747"/>
      <c r="AF441" s="747"/>
      <c r="AG441" s="747"/>
      <c r="AH441" s="747"/>
      <c r="AI441" s="747"/>
      <c r="AJ441" s="747"/>
      <c r="AK441" s="747"/>
      <c r="AL441" s="747"/>
      <c r="AM441" s="747"/>
      <c r="AN441" s="747"/>
      <c r="AO441" s="747"/>
      <c r="AP441" s="747"/>
    </row>
    <row r="442" spans="2:42" s="744" customFormat="1" hidden="1" x14ac:dyDescent="0.25">
      <c r="C442" s="1111"/>
      <c r="D442" s="1111"/>
      <c r="E442" s="1111"/>
      <c r="F442" s="1111"/>
      <c r="G442" s="1111"/>
      <c r="H442" s="779"/>
      <c r="I442" s="749"/>
      <c r="J442" s="778"/>
      <c r="K442" s="1117"/>
      <c r="L442" s="1116"/>
      <c r="M442" s="1116"/>
      <c r="N442" s="1127"/>
      <c r="O442" s="1127"/>
      <c r="P442" s="1117"/>
      <c r="Q442" s="1126"/>
      <c r="R442" s="1126"/>
      <c r="S442" s="1126"/>
      <c r="T442" s="775"/>
      <c r="U442" s="775"/>
      <c r="V442" s="745">
        <v>-1.4999999999999999E-2</v>
      </c>
      <c r="W442" s="745">
        <v>0</v>
      </c>
      <c r="X442" s="745">
        <v>0.01</v>
      </c>
      <c r="Y442" s="745">
        <v>-1.4999999999999999E-2</v>
      </c>
      <c r="Z442" s="745">
        <v>0</v>
      </c>
      <c r="AA442" s="747"/>
      <c r="AB442" s="747"/>
      <c r="AC442" s="747"/>
      <c r="AD442" s="747"/>
      <c r="AE442" s="747"/>
      <c r="AF442" s="747"/>
      <c r="AG442" s="747"/>
      <c r="AH442" s="747"/>
      <c r="AI442" s="747"/>
      <c r="AJ442" s="747"/>
      <c r="AK442" s="747"/>
      <c r="AL442" s="747"/>
      <c r="AM442" s="747"/>
      <c r="AN442" s="747"/>
      <c r="AO442" s="747"/>
      <c r="AP442" s="747"/>
    </row>
    <row r="443" spans="2:42" s="744" customFormat="1" hidden="1" x14ac:dyDescent="0.25">
      <c r="C443" s="1112" t="s">
        <v>119</v>
      </c>
      <c r="D443" s="1112"/>
      <c r="E443" s="1112"/>
      <c r="F443" s="1112"/>
      <c r="G443" s="1113">
        <f>D408-D413</f>
        <v>2200</v>
      </c>
      <c r="H443" s="759"/>
      <c r="J443" s="778"/>
      <c r="V443" s="745">
        <v>-1.4999999999999999E-2</v>
      </c>
      <c r="W443" s="745">
        <v>0</v>
      </c>
      <c r="X443" s="745">
        <v>0.01</v>
      </c>
      <c r="Y443" s="745">
        <v>-1.4999999999999999E-2</v>
      </c>
      <c r="Z443" s="745">
        <v>0</v>
      </c>
      <c r="AA443" s="747"/>
      <c r="AB443" s="747"/>
      <c r="AC443" s="747"/>
      <c r="AD443" s="747"/>
      <c r="AE443" s="747"/>
      <c r="AF443" s="747"/>
      <c r="AG443" s="747"/>
      <c r="AH443" s="747"/>
      <c r="AI443" s="747"/>
      <c r="AJ443" s="747"/>
      <c r="AK443" s="747"/>
      <c r="AL443" s="747"/>
      <c r="AM443" s="747"/>
      <c r="AN443" s="747"/>
      <c r="AO443" s="747"/>
      <c r="AP443" s="747"/>
    </row>
    <row r="444" spans="2:42" s="744" customFormat="1" hidden="1" x14ac:dyDescent="0.25">
      <c r="C444" s="1112"/>
      <c r="D444" s="1112"/>
      <c r="E444" s="1112"/>
      <c r="F444" s="1112"/>
      <c r="G444" s="1113"/>
      <c r="H444" s="780"/>
      <c r="J444" s="778"/>
      <c r="K444" s="1117" t="s">
        <v>245</v>
      </c>
      <c r="L444" s="1117"/>
      <c r="M444" s="1133" t="s">
        <v>246</v>
      </c>
      <c r="N444" s="1117">
        <f>G34</f>
        <v>2200</v>
      </c>
      <c r="O444" s="1117"/>
      <c r="P444" s="1121" t="s">
        <v>244</v>
      </c>
      <c r="Q444" s="1121"/>
      <c r="R444" s="1117">
        <f>N444*K450</f>
        <v>55</v>
      </c>
      <c r="S444" s="1117"/>
      <c r="T444" s="781"/>
      <c r="U444" s="781"/>
      <c r="V444" s="745">
        <f>IF(Y432&gt;6000,V443,IF(Y432&gt;3000,V442,IF(Y432&gt;499,V441,"Min $500")))</f>
        <v>-1.4999999999999999E-2</v>
      </c>
      <c r="W444" s="745">
        <f>IF(Y432&gt;6000,W443,IF(Y432&gt;3000,W442,IF(Y432&gt;499,W441,"Min $500")))</f>
        <v>0</v>
      </c>
      <c r="X444" s="745">
        <f>IF(Y432&gt;6000,X443,IF(Y432&gt;3000,X442,IF(Y432&gt;499,X441,"Min $500")))</f>
        <v>0.01</v>
      </c>
      <c r="Y444" s="745">
        <f>IF(Y432&gt;6000,Y443,IF(Y432&gt;3000,Y442,IF(Y432&gt;499,Y441,"Min $500")))</f>
        <v>-1.4999999999999999E-2</v>
      </c>
      <c r="Z444" s="745">
        <f>IF(Y432&gt;6000,Z443,IF(Y432&gt;3000,Z442,IF(Y432&gt;499,Z441,"Min $500")))</f>
        <v>0</v>
      </c>
      <c r="AA444" s="747"/>
      <c r="AB444" s="747"/>
      <c r="AC444" s="747"/>
      <c r="AD444" s="747"/>
      <c r="AE444" s="747"/>
      <c r="AF444" s="747"/>
      <c r="AG444" s="747"/>
      <c r="AH444" s="747"/>
      <c r="AI444" s="747"/>
      <c r="AJ444" s="747"/>
      <c r="AK444" s="747"/>
      <c r="AL444" s="747"/>
      <c r="AM444" s="747"/>
      <c r="AN444" s="747"/>
      <c r="AO444" s="747"/>
      <c r="AP444" s="747"/>
    </row>
    <row r="445" spans="2:42" s="744" customFormat="1" hidden="1" x14ac:dyDescent="0.25">
      <c r="C445" s="1112" t="str">
        <f>IF(G447&lt;0,"Retention % of Purchase Price - Deposit",IF(G447&gt;0,"Rebate % of Purchase Price - Deposit",IF(G447=0,"No Rebate or Retention")))</f>
        <v>No Rebate or Retention</v>
      </c>
      <c r="D445" s="1112"/>
      <c r="E445" s="1112"/>
      <c r="F445" s="1112"/>
      <c r="G445" s="1128">
        <f>G447/G443*1</f>
        <v>0</v>
      </c>
      <c r="H445" s="780"/>
      <c r="K445" s="1117"/>
      <c r="L445" s="1117"/>
      <c r="M445" s="1133"/>
      <c r="N445" s="1117"/>
      <c r="O445" s="1117"/>
      <c r="P445" s="1121"/>
      <c r="Q445" s="1121"/>
      <c r="R445" s="1117"/>
      <c r="S445" s="1117"/>
      <c r="T445" s="755"/>
      <c r="U445" s="755"/>
      <c r="AC445" s="782"/>
      <c r="AD445" s="782"/>
      <c r="AE445" s="782"/>
      <c r="AF445" s="782"/>
      <c r="AG445" s="782"/>
      <c r="AH445" s="782"/>
      <c r="AI445" s="782"/>
      <c r="AJ445" s="1122"/>
      <c r="AK445" s="1122"/>
      <c r="AL445" s="1122"/>
      <c r="AM445" s="1122"/>
      <c r="AN445" s="1122"/>
      <c r="AO445" s="1122"/>
      <c r="AP445" s="1122"/>
    </row>
    <row r="446" spans="2:42" s="744" customFormat="1" hidden="1" x14ac:dyDescent="0.25">
      <c r="C446" s="1112"/>
      <c r="D446" s="1112"/>
      <c r="E446" s="1112"/>
      <c r="F446" s="1112"/>
      <c r="G446" s="1128"/>
      <c r="H446" s="783"/>
      <c r="K446" s="752" t="s">
        <v>61</v>
      </c>
      <c r="L446" s="781" t="s">
        <v>47</v>
      </c>
      <c r="M446" s="781" t="s">
        <v>48</v>
      </c>
      <c r="N446" s="781" t="s">
        <v>49</v>
      </c>
      <c r="O446" s="781" t="s">
        <v>50</v>
      </c>
      <c r="P446" s="781" t="s">
        <v>242</v>
      </c>
      <c r="Q446" s="781" t="s">
        <v>51</v>
      </c>
      <c r="R446" s="781" t="s">
        <v>234</v>
      </c>
      <c r="S446" s="781" t="s">
        <v>104</v>
      </c>
      <c r="T446" s="755"/>
      <c r="U446" s="755"/>
      <c r="V446" s="842" t="s">
        <v>107</v>
      </c>
      <c r="W446" s="745" t="b">
        <f>IF(E432=7,V451,IF(E432=8,W451))</f>
        <v>0</v>
      </c>
      <c r="X446" s="850"/>
      <c r="Y446" s="789" t="s">
        <v>106</v>
      </c>
      <c r="Z446" s="745" t="b">
        <f>IF(E432=8,Z451)</f>
        <v>0</v>
      </c>
      <c r="AC446" s="742"/>
      <c r="AD446" s="750"/>
      <c r="AE446" s="750"/>
      <c r="AF446" s="750"/>
      <c r="AG446" s="772"/>
      <c r="AH446" s="784"/>
      <c r="AI446" s="742"/>
      <c r="AJ446" s="742"/>
      <c r="AK446" s="750"/>
      <c r="AL446" s="750"/>
      <c r="AM446" s="750"/>
      <c r="AN446" s="785"/>
      <c r="AO446" s="749"/>
      <c r="AP446" s="742"/>
    </row>
    <row r="447" spans="2:42" s="744" customFormat="1" hidden="1" x14ac:dyDescent="0.25">
      <c r="C447" s="1129" t="str">
        <f>IF(G447&lt;0,"Retention amount to be deducted", IF(G447&gt;0,"Rebate amount to be added",IF(G447=0,"No Rebate or Retention")))</f>
        <v>No Rebate or Retention</v>
      </c>
      <c r="D447" s="1129"/>
      <c r="E447" s="1129"/>
      <c r="F447" s="1129"/>
      <c r="G447" s="1113">
        <f>IF(F432=1,R444,IF(F432=2,"$0.00",IF(F432=3,N439,IF(F432=4,N433,IF(F432&gt;4,N433)))))</f>
        <v>0</v>
      </c>
      <c r="H447" s="783"/>
      <c r="I447" s="759"/>
      <c r="J447" s="759"/>
      <c r="K447" s="791" t="s">
        <v>86</v>
      </c>
      <c r="L447" s="755">
        <v>5.0000000000000001E-3</v>
      </c>
      <c r="M447" s="755">
        <v>0.01</v>
      </c>
      <c r="N447" s="755">
        <v>1.4E-2</v>
      </c>
      <c r="O447" s="755">
        <v>1.7000000000000001E-2</v>
      </c>
      <c r="P447" s="755">
        <v>0.02</v>
      </c>
      <c r="Q447" s="755">
        <v>2.5000000000000001E-2</v>
      </c>
      <c r="R447" s="755">
        <v>0.03</v>
      </c>
      <c r="S447" s="755">
        <v>0.03</v>
      </c>
      <c r="T447" s="755"/>
      <c r="U447" s="755"/>
      <c r="V447" s="786" t="s">
        <v>234</v>
      </c>
      <c r="W447" s="786" t="s">
        <v>104</v>
      </c>
      <c r="X447" s="786"/>
      <c r="Y447" s="786"/>
      <c r="Z447" s="786" t="s">
        <v>104</v>
      </c>
      <c r="AC447" s="742"/>
      <c r="AD447" s="750"/>
      <c r="AE447" s="750"/>
      <c r="AF447" s="750"/>
      <c r="AG447" s="785"/>
      <c r="AH447" s="784"/>
      <c r="AI447" s="742"/>
      <c r="AJ447" s="742"/>
      <c r="AK447" s="750"/>
      <c r="AL447" s="750"/>
      <c r="AM447" s="750"/>
      <c r="AN447" s="785"/>
      <c r="AO447" s="749"/>
      <c r="AP447" s="742"/>
    </row>
    <row r="448" spans="2:42" s="744" customFormat="1" hidden="1" x14ac:dyDescent="0.25">
      <c r="C448" s="1129"/>
      <c r="D448" s="1129"/>
      <c r="E448" s="1129"/>
      <c r="F448" s="1129"/>
      <c r="G448" s="1113"/>
      <c r="H448" s="787"/>
      <c r="I448" s="838"/>
      <c r="J448" s="838"/>
      <c r="K448" s="791" t="s">
        <v>87</v>
      </c>
      <c r="L448" s="755">
        <v>6.0000000000000001E-3</v>
      </c>
      <c r="M448" s="755">
        <v>0.01</v>
      </c>
      <c r="N448" s="755">
        <v>1.4500000000000001E-2</v>
      </c>
      <c r="O448" s="755">
        <v>1.7500000000000002E-2</v>
      </c>
      <c r="P448" s="755">
        <v>0.02</v>
      </c>
      <c r="Q448" s="755">
        <v>2.5499999999999998E-2</v>
      </c>
      <c r="R448" s="755">
        <v>0.03</v>
      </c>
      <c r="S448" s="755">
        <v>3.2500000000000001E-2</v>
      </c>
      <c r="T448" s="755"/>
      <c r="U448" s="755"/>
      <c r="V448" s="745">
        <v>-2.5000000000000001E-2</v>
      </c>
      <c r="W448" s="745">
        <v>-1.4999999999999999E-2</v>
      </c>
      <c r="X448" s="745"/>
      <c r="Y448" s="745"/>
      <c r="Z448" s="745">
        <v>-4.4999999999999998E-2</v>
      </c>
      <c r="AC448" s="742"/>
      <c r="AD448" s="750"/>
      <c r="AE448" s="750"/>
      <c r="AF448" s="750"/>
      <c r="AG448" s="785"/>
      <c r="AH448" s="784"/>
      <c r="AI448" s="742"/>
      <c r="AJ448" s="742"/>
      <c r="AK448" s="747"/>
      <c r="AL448" s="750"/>
      <c r="AM448" s="750"/>
      <c r="AN448" s="785"/>
      <c r="AO448" s="749"/>
      <c r="AP448" s="742"/>
    </row>
    <row r="449" spans="3:42" s="744" customFormat="1" ht="13.5" hidden="1" customHeight="1" x14ac:dyDescent="0.25">
      <c r="C449" s="1112" t="s">
        <v>71</v>
      </c>
      <c r="D449" s="1112"/>
      <c r="E449" s="1112"/>
      <c r="F449" s="1112"/>
      <c r="G449" s="1132">
        <f>G443+G447</f>
        <v>2200</v>
      </c>
      <c r="H449" s="758"/>
      <c r="I449" s="838"/>
      <c r="J449" s="838"/>
      <c r="K449" s="791" t="s">
        <v>88</v>
      </c>
      <c r="L449" s="755">
        <v>6.0000000000000001E-3</v>
      </c>
      <c r="M449" s="755">
        <v>1.0999999999999999E-2</v>
      </c>
      <c r="N449" s="755">
        <v>1.4999999999999999E-2</v>
      </c>
      <c r="O449" s="755">
        <v>1.7999999999999999E-2</v>
      </c>
      <c r="P449" s="755">
        <v>0.02</v>
      </c>
      <c r="Q449" s="755">
        <v>2.5999999999999999E-2</v>
      </c>
      <c r="R449" s="755">
        <v>0.03</v>
      </c>
      <c r="S449" s="755">
        <v>3.4000000000000002E-2</v>
      </c>
      <c r="V449" s="745">
        <v>-2.5000000000000001E-2</v>
      </c>
      <c r="W449" s="745">
        <v>-1.4999999999999999E-2</v>
      </c>
      <c r="X449" s="745"/>
      <c r="Y449" s="745"/>
      <c r="Z449" s="745">
        <v>-4.4999999999999998E-2</v>
      </c>
      <c r="AC449" s="1120"/>
      <c r="AD449" s="1120"/>
      <c r="AE449" s="1120"/>
      <c r="AF449" s="1120"/>
      <c r="AG449" s="1120"/>
      <c r="AH449" s="1120"/>
      <c r="AI449" s="1120"/>
      <c r="AJ449" s="1120"/>
      <c r="AK449" s="1120"/>
      <c r="AL449" s="1120"/>
      <c r="AM449" s="1120"/>
      <c r="AN449" s="1120"/>
      <c r="AO449" s="1120"/>
      <c r="AP449" s="1120"/>
    </row>
    <row r="450" spans="3:42" s="744" customFormat="1" ht="13.5" hidden="1" customHeight="1" x14ac:dyDescent="0.25">
      <c r="C450" s="1112"/>
      <c r="D450" s="1112"/>
      <c r="E450" s="1112"/>
      <c r="F450" s="1112"/>
      <c r="G450" s="1132"/>
      <c r="H450" s="783"/>
      <c r="I450" s="838"/>
      <c r="J450" s="838"/>
      <c r="K450" s="755">
        <f>IF(E432=1,L450,IF(E432=2,M450,IF(E432=3,N450,IF(E432=4,O450,IF(E432=5,P450,IF(E432=6,Q450,IF(E432=7,R450,IF(E432=8,S450))))))))</f>
        <v>2.5000000000000001E-2</v>
      </c>
      <c r="L450" s="755">
        <f>IF(N444&gt;6000,L449, IF(N444&gt;3000,L448, IF(N444&gt;499,L447, "Min $500")))</f>
        <v>5.0000000000000001E-3</v>
      </c>
      <c r="M450" s="755">
        <f>IF(N444&gt;6000,M449, IF(N444&gt;3000,M448, IF(N444&gt;499,M447, "Min $500")))</f>
        <v>0.01</v>
      </c>
      <c r="N450" s="755">
        <f>IF(N444&gt;6000,N449, IF(N444&gt;3000,N448, IF(N444&gt;499,N447, "Min $500")))</f>
        <v>1.4E-2</v>
      </c>
      <c r="O450" s="755">
        <f>IF(N444&gt;6000,O449, IF(N444&gt;3000,O448, IF(N444&gt;499,O447, "Min $500")))</f>
        <v>1.7000000000000001E-2</v>
      </c>
      <c r="P450" s="755">
        <f>IF(M444&gt;6000,P449, IF(M444&gt;3000,P448, IF(M444&gt;499,P447, "Min $500")))</f>
        <v>0.02</v>
      </c>
      <c r="Q450" s="755">
        <f>IF(N444&gt;6000,Q449, IF(N444&gt;3000,Q448, IF(N444&gt;499,Q447, "Min $500")))</f>
        <v>2.5000000000000001E-2</v>
      </c>
      <c r="R450" s="755">
        <f>IF(M444&gt;6000,R449, IF(M444&gt;3000,R448, IF(M444&gt;499,R447, "Min $500")))</f>
        <v>0.03</v>
      </c>
      <c r="S450" s="755">
        <f>IF(N444&gt;6000,S449, IF(N444&gt;3000,S448, IF(N444&gt;499,S447, "Min $500")))</f>
        <v>0.03</v>
      </c>
      <c r="V450" s="745">
        <v>-2.5000000000000001E-2</v>
      </c>
      <c r="W450" s="745">
        <v>-1.4999999999999999E-2</v>
      </c>
      <c r="X450" s="745"/>
      <c r="Y450" s="745"/>
      <c r="Z450" s="826">
        <v>-0.05</v>
      </c>
      <c r="AC450" s="1122"/>
      <c r="AD450" s="1122"/>
      <c r="AE450" s="1122"/>
      <c r="AF450" s="1122"/>
      <c r="AG450" s="1122"/>
      <c r="AH450" s="1122"/>
      <c r="AI450" s="1122"/>
      <c r="AJ450" s="1122"/>
      <c r="AK450" s="1122"/>
      <c r="AL450" s="1122"/>
      <c r="AM450" s="1122"/>
      <c r="AN450" s="1122"/>
      <c r="AO450" s="1122"/>
      <c r="AP450" s="1122"/>
    </row>
    <row r="451" spans="3:42" s="744" customFormat="1" ht="13.5" hidden="1" customHeight="1" x14ac:dyDescent="0.25">
      <c r="C451" s="747"/>
      <c r="D451" s="747"/>
      <c r="E451" s="747"/>
      <c r="F451" s="747"/>
      <c r="G451" s="747"/>
      <c r="H451" s="747"/>
      <c r="I451" s="747"/>
      <c r="J451" s="747"/>
      <c r="V451" s="745">
        <f>IF(Y432&gt;6000,V450,IF(Y432&gt;3000,V449,IF(Y432&gt;499,V448,"Min $500")))</f>
        <v>-2.5000000000000001E-2</v>
      </c>
      <c r="W451" s="745">
        <f>IF(Y432&gt;6000,W450,IF(Y432&gt;3000,W449,IF(Y432&gt;499,W448,"Min $500")))</f>
        <v>-1.4999999999999999E-2</v>
      </c>
      <c r="X451" s="745"/>
      <c r="Y451" s="745"/>
      <c r="Z451" s="826">
        <f>IF(Y432&gt;12000,Z450, IF(Y432&gt;3000,Z449, IF(Y432&gt;499,Z448, "Min $500")))</f>
        <v>-4.4999999999999998E-2</v>
      </c>
      <c r="AC451" s="742"/>
      <c r="AD451" s="750"/>
      <c r="AE451" s="747"/>
      <c r="AF451" s="747"/>
      <c r="AG451" s="756"/>
      <c r="AH451" s="749"/>
      <c r="AI451" s="784"/>
      <c r="AJ451" s="742"/>
      <c r="AK451" s="750"/>
      <c r="AL451" s="750"/>
      <c r="AM451" s="750"/>
      <c r="AN451" s="772"/>
      <c r="AO451" s="749"/>
      <c r="AP451" s="742"/>
    </row>
    <row r="452" spans="3:42" s="744" customFormat="1" ht="13.5" hidden="1" customHeight="1" x14ac:dyDescent="0.25">
      <c r="C452" s="747"/>
      <c r="D452" s="747"/>
      <c r="E452" s="747"/>
      <c r="F452" s="747"/>
      <c r="G452" s="747"/>
      <c r="H452" s="747"/>
      <c r="I452" s="747"/>
      <c r="J452" s="747"/>
      <c r="K452" s="744" t="s">
        <v>132</v>
      </c>
      <c r="P452" s="1125" t="s">
        <v>214</v>
      </c>
      <c r="Q452" s="1125"/>
      <c r="R452" s="1125"/>
      <c r="S452" s="1125"/>
      <c r="W452" s="788"/>
      <c r="X452" s="788"/>
      <c r="Y452" s="788"/>
      <c r="Z452" s="789"/>
      <c r="AC452" s="742"/>
      <c r="AD452" s="750"/>
      <c r="AE452" s="750"/>
      <c r="AF452" s="750"/>
      <c r="AG452" s="790"/>
      <c r="AH452" s="749"/>
      <c r="AI452" s="742"/>
      <c r="AJ452" s="742"/>
      <c r="AK452" s="750"/>
      <c r="AL452" s="750"/>
      <c r="AM452" s="750"/>
      <c r="AN452" s="772"/>
      <c r="AO452" s="749"/>
      <c r="AP452" s="742"/>
    </row>
    <row r="453" spans="3:42" s="744" customFormat="1" ht="13.5" hidden="1" customHeight="1" x14ac:dyDescent="0.25">
      <c r="G453" s="752"/>
      <c r="H453" s="747"/>
      <c r="I453" s="747"/>
      <c r="J453" s="747"/>
      <c r="K453" s="743" t="s">
        <v>194</v>
      </c>
      <c r="N453" s="831">
        <v>1</v>
      </c>
      <c r="P453" s="851" t="s">
        <v>2</v>
      </c>
      <c r="Q453" s="851" t="s">
        <v>212</v>
      </c>
      <c r="R453" s="851" t="s">
        <v>213</v>
      </c>
      <c r="S453" s="851" t="s">
        <v>146</v>
      </c>
      <c r="T453" s="751"/>
      <c r="U453" s="751"/>
      <c r="W453" s="786"/>
      <c r="X453" s="786"/>
      <c r="Y453" s="786"/>
      <c r="Z453" s="745"/>
      <c r="AC453" s="742"/>
      <c r="AD453" s="750"/>
      <c r="AE453" s="750"/>
      <c r="AF453" s="750"/>
      <c r="AG453" s="790"/>
      <c r="AH453" s="749"/>
      <c r="AI453" s="742"/>
      <c r="AJ453" s="742"/>
      <c r="AK453" s="750"/>
      <c r="AL453" s="750"/>
      <c r="AM453" s="750"/>
      <c r="AN453" s="772"/>
      <c r="AO453" s="749"/>
      <c r="AP453" s="742"/>
    </row>
    <row r="454" spans="3:42" s="744" customFormat="1" ht="12.75" hidden="1" customHeight="1" x14ac:dyDescent="0.25">
      <c r="G454" s="793"/>
      <c r="H454" s="747"/>
      <c r="I454" s="747"/>
      <c r="J454" s="747"/>
      <c r="K454" s="746" t="s">
        <v>193</v>
      </c>
      <c r="N454" s="831">
        <v>2</v>
      </c>
      <c r="P454" s="827" t="s">
        <v>80</v>
      </c>
      <c r="Q454" s="828">
        <v>3.5000000000000003E-2</v>
      </c>
      <c r="R454" s="828">
        <f>Q454+2.4%</f>
        <v>5.8999999999999997E-2</v>
      </c>
      <c r="S454" s="852">
        <f>R454+0.5%</f>
        <v>6.4000000000000001E-2</v>
      </c>
      <c r="T454" s="751"/>
      <c r="U454" s="751"/>
      <c r="W454" s="745"/>
      <c r="X454" s="745"/>
      <c r="Y454" s="745"/>
      <c r="Z454" s="791"/>
      <c r="AC454" s="1122"/>
      <c r="AD454" s="1122"/>
      <c r="AE454" s="1122"/>
      <c r="AF454" s="1122"/>
      <c r="AG454" s="1122"/>
      <c r="AH454" s="1122"/>
      <c r="AI454" s="1122"/>
      <c r="AJ454" s="1121"/>
      <c r="AK454" s="1121"/>
      <c r="AL454" s="1121"/>
      <c r="AM454" s="1121"/>
      <c r="AN454" s="1121"/>
      <c r="AO454" s="1121"/>
      <c r="AP454" s="1121"/>
    </row>
    <row r="455" spans="3:42" s="744" customFormat="1" ht="12.75" hidden="1" customHeight="1" x14ac:dyDescent="0.25">
      <c r="G455" s="793"/>
      <c r="H455" s="747"/>
      <c r="I455" s="747"/>
      <c r="J455" s="747"/>
      <c r="K455" s="746" t="s">
        <v>192</v>
      </c>
      <c r="N455" s="831">
        <v>3</v>
      </c>
      <c r="P455" s="827" t="s">
        <v>81</v>
      </c>
      <c r="Q455" s="828">
        <v>7.2999999999999995E-2</v>
      </c>
      <c r="R455" s="828">
        <f t="shared" ref="R455:R458" si="1">Q455+2.4%</f>
        <v>9.7000000000000003E-2</v>
      </c>
      <c r="S455" s="852">
        <f t="shared" ref="S455:S458" si="2">R455+0.5%</f>
        <v>0.10199999999999999</v>
      </c>
      <c r="T455" s="751"/>
      <c r="U455" s="751"/>
      <c r="W455" s="745"/>
      <c r="X455" s="745"/>
      <c r="Y455" s="745"/>
      <c r="Z455" s="791"/>
      <c r="AC455" s="742"/>
      <c r="AD455" s="747"/>
      <c r="AE455" s="750"/>
      <c r="AF455" s="750"/>
      <c r="AG455" s="785"/>
      <c r="AH455" s="749"/>
      <c r="AI455" s="742"/>
      <c r="AJ455" s="742"/>
      <c r="AK455" s="747"/>
      <c r="AL455" s="747"/>
      <c r="AM455" s="747"/>
      <c r="AN455" s="792"/>
      <c r="AO455" s="793"/>
      <c r="AP455" s="742"/>
    </row>
    <row r="456" spans="3:42" s="744" customFormat="1" ht="12.75" hidden="1" customHeight="1" x14ac:dyDescent="0.25">
      <c r="G456" s="793"/>
      <c r="H456" s="747"/>
      <c r="I456" s="747"/>
      <c r="J456" s="747"/>
      <c r="K456" s="746" t="s">
        <v>201</v>
      </c>
      <c r="N456" s="831">
        <v>4</v>
      </c>
      <c r="O456" s="794"/>
      <c r="P456" s="827" t="s">
        <v>82</v>
      </c>
      <c r="Q456" s="829">
        <v>9.0999999999999998E-2</v>
      </c>
      <c r="R456" s="828">
        <f t="shared" si="1"/>
        <v>0.115</v>
      </c>
      <c r="S456" s="852">
        <f t="shared" si="2"/>
        <v>0.12</v>
      </c>
      <c r="T456" s="751"/>
      <c r="U456" s="751"/>
      <c r="W456" s="745"/>
      <c r="X456" s="745"/>
      <c r="Y456" s="745"/>
      <c r="Z456" s="791"/>
      <c r="AC456" s="742"/>
      <c r="AD456" s="747"/>
      <c r="AE456" s="750"/>
      <c r="AF456" s="750"/>
      <c r="AG456" s="785"/>
      <c r="AH456" s="749"/>
      <c r="AI456" s="742"/>
      <c r="AJ456" s="742"/>
      <c r="AK456" s="750"/>
      <c r="AL456" s="747"/>
      <c r="AM456" s="747"/>
      <c r="AN456" s="748"/>
      <c r="AO456" s="749"/>
      <c r="AP456" s="742"/>
    </row>
    <row r="457" spans="3:42" s="744" customFormat="1" ht="13.5" hidden="1" customHeight="1" x14ac:dyDescent="0.25">
      <c r="G457" s="793"/>
      <c r="H457" s="747"/>
      <c r="I457" s="747"/>
      <c r="J457" s="747"/>
      <c r="K457" s="798" t="s">
        <v>202</v>
      </c>
      <c r="L457" s="798"/>
      <c r="M457" s="798"/>
      <c r="N457" s="832">
        <v>5</v>
      </c>
      <c r="P457" s="827" t="s">
        <v>83</v>
      </c>
      <c r="Q457" s="830">
        <v>0.13</v>
      </c>
      <c r="R457" s="828">
        <f t="shared" si="1"/>
        <v>0.154</v>
      </c>
      <c r="S457" s="852">
        <f t="shared" si="2"/>
        <v>0.159</v>
      </c>
      <c r="T457" s="751"/>
      <c r="U457" s="751"/>
      <c r="W457" s="745"/>
      <c r="X457" s="745"/>
      <c r="Y457" s="745"/>
      <c r="Z457" s="751"/>
      <c r="AC457" s="742"/>
      <c r="AD457" s="747"/>
      <c r="AE457" s="747"/>
      <c r="AF457" s="747"/>
      <c r="AG457" s="754"/>
      <c r="AH457" s="749"/>
      <c r="AI457" s="742"/>
      <c r="AJ457" s="742"/>
      <c r="AK457" s="747"/>
      <c r="AL457" s="747"/>
      <c r="AM457" s="747"/>
      <c r="AN457" s="792"/>
      <c r="AO457" s="793"/>
      <c r="AP457" s="742"/>
    </row>
    <row r="458" spans="3:42" s="744" customFormat="1" ht="13.5" hidden="1" customHeight="1" x14ac:dyDescent="0.25">
      <c r="G458" s="793"/>
      <c r="H458" s="747"/>
      <c r="I458" s="747"/>
      <c r="J458" s="747"/>
      <c r="K458" s="798" t="s">
        <v>186</v>
      </c>
      <c r="L458" s="798"/>
      <c r="M458" s="798"/>
      <c r="N458" s="831">
        <v>6</v>
      </c>
      <c r="P458" s="827" t="s">
        <v>84</v>
      </c>
      <c r="Q458" s="830">
        <v>0.18</v>
      </c>
      <c r="R458" s="828">
        <f t="shared" si="1"/>
        <v>0.20399999999999999</v>
      </c>
      <c r="S458" s="852">
        <f t="shared" si="2"/>
        <v>0.20899999999999999</v>
      </c>
      <c r="T458" s="751"/>
      <c r="U458" s="751"/>
      <c r="W458" s="745"/>
      <c r="X458" s="745"/>
      <c r="Y458" s="745"/>
      <c r="Z458" s="751"/>
      <c r="AC458" s="742"/>
      <c r="AD458" s="747"/>
      <c r="AE458" s="747"/>
      <c r="AF458" s="747"/>
      <c r="AG458" s="754"/>
      <c r="AH458" s="749"/>
      <c r="AI458" s="742"/>
      <c r="AJ458" s="742"/>
      <c r="AK458" s="747"/>
      <c r="AL458" s="747"/>
      <c r="AM458" s="747"/>
      <c r="AN458" s="792"/>
      <c r="AO458" s="793"/>
      <c r="AP458" s="742"/>
    </row>
    <row r="459" spans="3:42" s="744" customFormat="1" ht="13.5" hidden="1" customHeight="1" x14ac:dyDescent="0.25">
      <c r="G459" s="793"/>
      <c r="H459" s="747"/>
      <c r="I459" s="747"/>
      <c r="J459" s="747"/>
      <c r="K459" s="798" t="s">
        <v>185</v>
      </c>
      <c r="L459" s="798"/>
      <c r="M459" s="798"/>
      <c r="N459" s="831">
        <v>7</v>
      </c>
      <c r="P459" s="851" t="s">
        <v>145</v>
      </c>
      <c r="Q459" s="852">
        <f>IF(D432=1,Q454,IF(D432=2,Q455,IF(D432=3,Q456,IF(D432=4,Q457,IF(D432=5,Q458)))))</f>
        <v>3.5000000000000003E-2</v>
      </c>
      <c r="R459" s="852" t="b">
        <f>IF(E432=1,R454,IF(E432=2,R455,IF(E432=3,R456,IF(E432=4,R457,IF(E432=5,R458)))))</f>
        <v>0</v>
      </c>
      <c r="S459" s="852" t="b">
        <f>IF(E432=1,S454,IF(E432=2,S455,IF(E432=3,S456,IF(E432=4,S457,IF(E432=5,S458)))))</f>
        <v>0</v>
      </c>
      <c r="T459" s="751"/>
      <c r="U459" s="751"/>
      <c r="W459" s="745"/>
      <c r="X459" s="745"/>
      <c r="Y459" s="745"/>
      <c r="Z459" s="751"/>
      <c r="AC459" s="742"/>
      <c r="AD459" s="747"/>
      <c r="AE459" s="747"/>
      <c r="AF459" s="747"/>
      <c r="AG459" s="754"/>
      <c r="AH459" s="749"/>
      <c r="AI459" s="742"/>
      <c r="AJ459" s="742"/>
      <c r="AK459" s="747"/>
      <c r="AL459" s="747"/>
      <c r="AM459" s="747"/>
      <c r="AN459" s="792"/>
      <c r="AO459" s="793"/>
      <c r="AP459" s="742"/>
    </row>
    <row r="460" spans="3:42" s="744" customFormat="1" ht="13.5" hidden="1" customHeight="1" x14ac:dyDescent="0.25">
      <c r="G460" s="793"/>
      <c r="H460" s="747"/>
      <c r="I460" s="747"/>
      <c r="J460" s="747"/>
      <c r="K460" s="798" t="s">
        <v>184</v>
      </c>
      <c r="L460" s="798"/>
      <c r="M460" s="798"/>
      <c r="N460" s="831">
        <v>8</v>
      </c>
      <c r="S460" s="751"/>
      <c r="T460" s="751"/>
      <c r="U460" s="751"/>
      <c r="W460" s="745"/>
      <c r="X460" s="745"/>
      <c r="Y460" s="745"/>
      <c r="Z460" s="751"/>
      <c r="AC460" s="742"/>
      <c r="AD460" s="747"/>
      <c r="AE460" s="747"/>
      <c r="AF460" s="747"/>
      <c r="AG460" s="754"/>
      <c r="AH460" s="749"/>
      <c r="AI460" s="742"/>
      <c r="AJ460" s="742"/>
      <c r="AK460" s="747"/>
      <c r="AL460" s="747"/>
      <c r="AM460" s="747"/>
      <c r="AN460" s="792"/>
      <c r="AO460" s="793"/>
      <c r="AP460" s="742"/>
    </row>
    <row r="461" spans="3:42" s="744" customFormat="1" ht="13.5" hidden="1" customHeight="1" x14ac:dyDescent="0.25">
      <c r="G461" s="793"/>
      <c r="H461" s="747"/>
      <c r="I461" s="747"/>
      <c r="J461" s="747"/>
      <c r="K461" s="743" t="s">
        <v>183</v>
      </c>
      <c r="L461" s="742"/>
      <c r="M461" s="742"/>
      <c r="N461" s="832">
        <v>9</v>
      </c>
      <c r="S461" s="751"/>
      <c r="T461" s="751"/>
      <c r="U461" s="751"/>
      <c r="W461" s="745"/>
      <c r="X461" s="745"/>
      <c r="Y461" s="745"/>
      <c r="Z461" s="751"/>
      <c r="AC461" s="742"/>
      <c r="AD461" s="747"/>
      <c r="AE461" s="747"/>
      <c r="AF461" s="747"/>
      <c r="AG461" s="754"/>
      <c r="AH461" s="749"/>
      <c r="AI461" s="742"/>
      <c r="AJ461" s="742"/>
      <c r="AK461" s="747"/>
      <c r="AL461" s="747"/>
      <c r="AM461" s="747"/>
      <c r="AN461" s="792"/>
      <c r="AO461" s="793"/>
      <c r="AP461" s="742"/>
    </row>
    <row r="462" spans="3:42" s="744" customFormat="1" ht="13.5" hidden="1" customHeight="1" x14ac:dyDescent="0.25">
      <c r="G462" s="793"/>
      <c r="H462" s="747"/>
      <c r="I462" s="747"/>
      <c r="J462" s="747"/>
      <c r="K462" s="812">
        <v>4</v>
      </c>
      <c r="L462" s="833" t="s">
        <v>131</v>
      </c>
      <c r="M462" s="742"/>
      <c r="N462" s="742"/>
      <c r="S462" s="751"/>
      <c r="T462" s="751"/>
      <c r="U462" s="751"/>
      <c r="W462" s="745"/>
      <c r="X462" s="745"/>
      <c r="Y462" s="745"/>
      <c r="Z462" s="751"/>
      <c r="AC462" s="742"/>
      <c r="AD462" s="747"/>
      <c r="AE462" s="747"/>
      <c r="AF462" s="747"/>
      <c r="AG462" s="754"/>
      <c r="AH462" s="749"/>
      <c r="AI462" s="742"/>
      <c r="AJ462" s="742"/>
      <c r="AK462" s="747"/>
      <c r="AL462" s="747"/>
      <c r="AM462" s="747"/>
      <c r="AN462" s="792"/>
      <c r="AO462" s="793"/>
      <c r="AP462" s="742"/>
    </row>
    <row r="463" spans="3:42" s="744" customFormat="1" ht="13.5" hidden="1" customHeight="1" x14ac:dyDescent="0.25">
      <c r="G463" s="793"/>
      <c r="H463" s="747"/>
      <c r="I463" s="747"/>
      <c r="J463" s="747"/>
      <c r="N463" s="795"/>
      <c r="S463" s="751"/>
      <c r="T463" s="751"/>
      <c r="U463" s="751"/>
      <c r="W463" s="745"/>
      <c r="X463" s="745"/>
      <c r="Y463" s="745"/>
      <c r="Z463" s="751"/>
      <c r="AC463" s="742"/>
      <c r="AD463" s="747"/>
      <c r="AE463" s="747"/>
      <c r="AF463" s="747"/>
      <c r="AG463" s="754"/>
      <c r="AH463" s="749"/>
      <c r="AI463" s="742"/>
      <c r="AJ463" s="742"/>
      <c r="AK463" s="747"/>
      <c r="AL463" s="747"/>
      <c r="AM463" s="747"/>
      <c r="AN463" s="792"/>
      <c r="AO463" s="793"/>
      <c r="AP463" s="742"/>
    </row>
    <row r="464" spans="3:42" s="126" customFormat="1" ht="13.5" hidden="1" customHeight="1" x14ac:dyDescent="0.25">
      <c r="G464" s="354"/>
      <c r="H464" s="729"/>
      <c r="I464" s="729"/>
      <c r="J464" s="729"/>
      <c r="M464" s="128"/>
      <c r="N464" s="734"/>
      <c r="O464" s="125"/>
      <c r="Q464" s="125"/>
      <c r="R464" s="125"/>
      <c r="S464" s="241"/>
      <c r="T464" s="731"/>
      <c r="U464" s="731"/>
      <c r="W464" s="239"/>
      <c r="X464" s="239"/>
      <c r="Y464" s="239"/>
      <c r="Z464" s="240"/>
      <c r="AC464" s="120"/>
      <c r="AD464" s="474"/>
      <c r="AE464" s="730"/>
      <c r="AF464" s="730"/>
      <c r="AG464" s="703"/>
      <c r="AH464" s="698"/>
      <c r="AI464" s="120"/>
      <c r="AJ464" s="120"/>
      <c r="AK464" s="474"/>
      <c r="AL464" s="730"/>
      <c r="AM464" s="730"/>
      <c r="AN464" s="709"/>
      <c r="AO464" s="708"/>
      <c r="AP464" s="120"/>
    </row>
    <row r="465" spans="2:47" s="126" customFormat="1" ht="13.5" customHeight="1" x14ac:dyDescent="0.25">
      <c r="C465" s="729"/>
      <c r="D465" s="729"/>
      <c r="E465" s="729"/>
      <c r="F465" s="729"/>
      <c r="G465" s="729"/>
      <c r="H465" s="729"/>
      <c r="I465" s="729"/>
      <c r="J465" s="729"/>
      <c r="M465" s="128"/>
      <c r="N465" s="734"/>
      <c r="O465" s="125"/>
      <c r="Q465" s="125"/>
      <c r="R465" s="125"/>
      <c r="S465" s="241"/>
      <c r="T465" s="731"/>
      <c r="U465" s="731"/>
      <c r="W465" s="239"/>
      <c r="X465" s="239"/>
      <c r="Y465" s="239"/>
      <c r="Z465" s="240"/>
      <c r="AC465" s="120"/>
      <c r="AD465" s="474"/>
      <c r="AE465" s="730"/>
      <c r="AF465" s="730"/>
      <c r="AG465" s="703"/>
      <c r="AH465" s="698"/>
      <c r="AI465" s="120"/>
      <c r="AJ465" s="120"/>
      <c r="AK465" s="474"/>
      <c r="AL465" s="730"/>
      <c r="AM465" s="730"/>
      <c r="AN465" s="709"/>
      <c r="AO465" s="708"/>
      <c r="AP465" s="120"/>
    </row>
    <row r="466" spans="2:47" s="126" customFormat="1" ht="15" customHeight="1" x14ac:dyDescent="0.25">
      <c r="C466" s="729"/>
      <c r="D466" s="729"/>
      <c r="E466" s="729"/>
      <c r="F466" s="729"/>
      <c r="G466" s="729"/>
      <c r="H466" s="729"/>
      <c r="I466" s="729"/>
      <c r="J466" s="729"/>
      <c r="M466" s="128"/>
      <c r="N466" s="128"/>
      <c r="O466" s="125"/>
      <c r="Q466" s="125"/>
      <c r="R466" s="125"/>
      <c r="S466" s="730"/>
      <c r="T466" s="732"/>
      <c r="U466" s="732"/>
      <c r="V466" s="640"/>
      <c r="AC466" s="1119"/>
      <c r="AD466" s="1119"/>
      <c r="AE466" s="1119"/>
      <c r="AF466" s="1119"/>
      <c r="AG466" s="1119"/>
      <c r="AH466" s="1119"/>
      <c r="AI466" s="1119"/>
      <c r="AJ466" s="1119"/>
      <c r="AK466" s="1119"/>
      <c r="AL466" s="1119"/>
      <c r="AM466" s="1119"/>
      <c r="AN466" s="1119"/>
      <c r="AO466" s="1119"/>
      <c r="AP466" s="1119"/>
    </row>
    <row r="467" spans="2:47" s="126" customFormat="1" ht="12.75" customHeight="1" x14ac:dyDescent="0.25">
      <c r="C467" s="729"/>
      <c r="D467" s="729"/>
      <c r="E467" s="729"/>
      <c r="F467" s="729"/>
      <c r="G467" s="729"/>
      <c r="H467" s="729"/>
      <c r="I467" s="729"/>
      <c r="J467" s="729"/>
      <c r="M467" s="128"/>
      <c r="N467" s="128"/>
      <c r="O467" s="737"/>
      <c r="Q467" s="125"/>
      <c r="R467" s="125"/>
      <c r="S467" s="730"/>
      <c r="T467" s="732"/>
      <c r="U467" s="732"/>
      <c r="V467" s="640"/>
      <c r="AC467" s="120"/>
      <c r="AD467" s="474"/>
      <c r="AE467" s="699"/>
      <c r="AF467" s="699"/>
      <c r="AG467" s="713"/>
      <c r="AH467" s="710"/>
      <c r="AI467" s="120"/>
      <c r="AJ467" s="714"/>
      <c r="AK467" s="699"/>
      <c r="AL467" s="228"/>
      <c r="AM467" s="228"/>
      <c r="AN467" s="260"/>
      <c r="AO467" s="715"/>
      <c r="AP467" s="228"/>
    </row>
    <row r="468" spans="2:47" s="126" customFormat="1" ht="12.75" customHeight="1" x14ac:dyDescent="0.25">
      <c r="C468" s="729"/>
      <c r="D468" s="729"/>
      <c r="E468" s="729"/>
      <c r="F468" s="729"/>
      <c r="G468" s="729"/>
      <c r="H468" s="729"/>
      <c r="I468" s="729"/>
      <c r="J468" s="729"/>
      <c r="M468" s="128"/>
      <c r="N468" s="735"/>
      <c r="O468" s="736"/>
      <c r="Q468" s="125"/>
      <c r="R468" s="125"/>
      <c r="S468" s="730"/>
      <c r="T468" s="732"/>
      <c r="U468" s="732"/>
      <c r="AC468" s="120"/>
      <c r="AD468" s="699"/>
      <c r="AE468" s="705"/>
      <c r="AF468" s="705"/>
      <c r="AG468" s="716"/>
      <c r="AH468" s="698"/>
      <c r="AI468" s="120"/>
      <c r="AJ468" s="714"/>
      <c r="AK468" s="699"/>
      <c r="AL468" s="699"/>
      <c r="AM468" s="699"/>
      <c r="AN468" s="704"/>
      <c r="AO468" s="710"/>
      <c r="AP468" s="120"/>
    </row>
    <row r="469" spans="2:47" s="126" customFormat="1" ht="12.75" customHeight="1" x14ac:dyDescent="0.25">
      <c r="H469" s="125"/>
      <c r="O469" s="125"/>
      <c r="Q469" s="125"/>
      <c r="R469" s="125"/>
      <c r="S469" s="730"/>
      <c r="T469" s="732"/>
      <c r="U469" s="732"/>
      <c r="V469" s="696"/>
      <c r="Y469" s="696"/>
      <c r="Z469" s="696"/>
      <c r="AC469" s="120"/>
      <c r="AD469" s="474"/>
      <c r="AE469" s="705"/>
      <c r="AF469" s="705"/>
      <c r="AG469" s="716"/>
      <c r="AH469" s="710"/>
      <c r="AI469" s="699"/>
      <c r="AJ469" s="714"/>
      <c r="AK469" s="474"/>
      <c r="AL469" s="705"/>
      <c r="AM469" s="705"/>
      <c r="AN469" s="712"/>
      <c r="AO469" s="710"/>
      <c r="AP469" s="120"/>
    </row>
    <row r="470" spans="2:47" s="126" customFormat="1" ht="12.75" customHeight="1" x14ac:dyDescent="0.25">
      <c r="H470" s="125"/>
      <c r="Q470" s="125"/>
      <c r="R470" s="125"/>
      <c r="S470" s="730"/>
      <c r="T470" s="732"/>
      <c r="U470" s="732"/>
      <c r="V470" s="696"/>
      <c r="W470" s="696"/>
      <c r="X470" s="696"/>
      <c r="Y470" s="696"/>
      <c r="Z470" s="696"/>
      <c r="AA470" s="128"/>
      <c r="AB470" s="128"/>
      <c r="AC470" s="1118"/>
      <c r="AD470" s="1118"/>
      <c r="AE470" s="1118"/>
      <c r="AF470" s="1118"/>
      <c r="AG470" s="1118"/>
      <c r="AH470" s="1118"/>
      <c r="AI470" s="1118"/>
      <c r="AJ470" s="1118"/>
      <c r="AK470" s="1118"/>
      <c r="AL470" s="1118"/>
      <c r="AM470" s="1118"/>
      <c r="AN470" s="1118"/>
      <c r="AO470" s="1118"/>
      <c r="AP470" s="1118"/>
    </row>
    <row r="471" spans="2:47" s="126" customFormat="1" ht="13.5" customHeight="1" x14ac:dyDescent="0.25">
      <c r="H471" s="125"/>
      <c r="S471" s="732"/>
      <c r="T471" s="732"/>
      <c r="U471" s="732"/>
      <c r="V471" s="696"/>
      <c r="W471" s="696"/>
      <c r="X471" s="696"/>
      <c r="Y471" s="696"/>
      <c r="Z471" s="696"/>
      <c r="AA471" s="128"/>
      <c r="AB471" s="128"/>
      <c r="AC471" s="1119"/>
      <c r="AD471" s="1119"/>
      <c r="AE471" s="1119"/>
      <c r="AF471" s="1119"/>
      <c r="AG471" s="1119"/>
      <c r="AH471" s="1119"/>
      <c r="AI471" s="1119"/>
      <c r="AJ471" s="1119"/>
      <c r="AK471" s="1119"/>
      <c r="AL471" s="1119"/>
      <c r="AM471" s="1119"/>
      <c r="AN471" s="1119"/>
      <c r="AO471" s="1119"/>
      <c r="AP471" s="1119"/>
      <c r="AU471" s="126" t="s">
        <v>142</v>
      </c>
    </row>
    <row r="472" spans="2:47" s="126" customFormat="1" x14ac:dyDescent="0.25">
      <c r="H472" s="125"/>
      <c r="K472" s="696"/>
      <c r="L472" s="696"/>
      <c r="M472" s="696"/>
      <c r="N472" s="696"/>
      <c r="O472" s="696"/>
      <c r="P472" s="696"/>
      <c r="Q472" s="696"/>
      <c r="S472" s="732"/>
      <c r="T472" s="732"/>
      <c r="U472" s="732"/>
      <c r="V472" s="696"/>
      <c r="W472" s="696"/>
      <c r="X472" s="696"/>
      <c r="Y472" s="696"/>
      <c r="Z472" s="696"/>
      <c r="AA472" s="128"/>
      <c r="AB472" s="128"/>
      <c r="AC472" s="120"/>
      <c r="AD472" s="474"/>
      <c r="AE472" s="228"/>
      <c r="AF472" s="228"/>
      <c r="AG472" s="702"/>
      <c r="AH472" s="698"/>
      <c r="AI472" s="228"/>
      <c r="AJ472" s="120"/>
      <c r="AK472" s="699"/>
      <c r="AL472" s="699"/>
      <c r="AM472" s="699"/>
      <c r="AN472" s="704"/>
      <c r="AO472" s="698"/>
      <c r="AP472" s="120"/>
    </row>
    <row r="473" spans="2:47" x14ac:dyDescent="0.25">
      <c r="H473" s="119"/>
      <c r="I473" s="119"/>
      <c r="J473" s="119"/>
      <c r="O473" s="696"/>
      <c r="P473" s="696"/>
      <c r="Q473" s="696"/>
      <c r="S473" s="732"/>
      <c r="T473" s="732"/>
      <c r="U473" s="732"/>
      <c r="V473" s="696"/>
      <c r="W473" s="696"/>
      <c r="X473" s="696"/>
      <c r="Y473" s="696"/>
      <c r="Z473" s="696"/>
      <c r="AA473" s="120"/>
      <c r="AB473" s="120"/>
      <c r="AC473" s="120"/>
      <c r="AD473" s="699"/>
      <c r="AE473" s="699"/>
      <c r="AF473" s="699"/>
      <c r="AG473" s="707"/>
      <c r="AH473" s="698"/>
      <c r="AI473" s="120"/>
      <c r="AJ473" s="120"/>
      <c r="AK473" s="699"/>
      <c r="AL473" s="705"/>
      <c r="AM473" s="705"/>
      <c r="AN473" s="706"/>
      <c r="AO473" s="698"/>
      <c r="AP473" s="120"/>
    </row>
    <row r="474" spans="2:47" x14ac:dyDescent="0.25">
      <c r="B474" s="195"/>
      <c r="G474" s="195"/>
      <c r="H474" s="195"/>
      <c r="I474" s="195"/>
      <c r="J474" s="195"/>
      <c r="O474" s="733"/>
      <c r="P474" s="733"/>
      <c r="V474" s="696"/>
      <c r="W474" s="696"/>
      <c r="X474" s="696"/>
      <c r="Y474" s="696"/>
      <c r="Z474" s="696"/>
      <c r="AA474" s="120"/>
      <c r="AB474" s="120"/>
      <c r="AC474" s="128"/>
      <c r="AD474" s="474"/>
      <c r="AE474" s="228"/>
      <c r="AF474" s="228"/>
      <c r="AG474" s="707"/>
      <c r="AH474" s="698"/>
      <c r="AI474" s="128"/>
      <c r="AJ474" s="120"/>
      <c r="AK474" s="699"/>
      <c r="AL474" s="705"/>
      <c r="AM474" s="705"/>
      <c r="AN474" s="706"/>
      <c r="AO474" s="698"/>
      <c r="AP474" s="120"/>
    </row>
    <row r="475" spans="2:47" x14ac:dyDescent="0.25">
      <c r="B475" s="195"/>
      <c r="G475" s="195"/>
      <c r="H475" s="195"/>
      <c r="I475" s="195"/>
      <c r="J475" s="195"/>
      <c r="O475" s="733"/>
      <c r="P475" s="733"/>
      <c r="V475" s="696"/>
      <c r="W475" s="696"/>
      <c r="X475" s="696"/>
      <c r="Y475" s="696"/>
      <c r="Z475" s="696"/>
      <c r="AA475" s="120"/>
      <c r="AB475" s="120"/>
      <c r="AC475" s="1119"/>
      <c r="AD475" s="1119"/>
      <c r="AE475" s="1119"/>
      <c r="AF475" s="1119"/>
      <c r="AG475" s="1119"/>
      <c r="AH475" s="1119"/>
      <c r="AI475" s="1119"/>
      <c r="AJ475" s="1124"/>
      <c r="AK475" s="1124"/>
      <c r="AL475" s="1124"/>
      <c r="AM475" s="1124"/>
      <c r="AN475" s="1124"/>
      <c r="AO475" s="1124"/>
      <c r="AP475" s="1124"/>
    </row>
    <row r="476" spans="2:47" x14ac:dyDescent="0.25">
      <c r="B476" s="195"/>
      <c r="G476" s="195"/>
      <c r="H476" s="195"/>
      <c r="I476" s="195"/>
      <c r="J476" s="195"/>
      <c r="O476" s="733"/>
      <c r="P476" s="733"/>
      <c r="V476" s="696"/>
      <c r="W476" s="696"/>
      <c r="X476" s="696"/>
      <c r="Y476" s="696"/>
      <c r="Z476" s="696"/>
      <c r="AA476" s="120"/>
      <c r="AB476" s="120"/>
      <c r="AC476" s="120"/>
      <c r="AD476" s="699"/>
      <c r="AE476" s="699"/>
      <c r="AF476" s="699"/>
      <c r="AG476" s="704"/>
      <c r="AH476" s="698"/>
      <c r="AI476" s="120"/>
      <c r="AJ476" s="120"/>
      <c r="AK476" s="699"/>
      <c r="AL476" s="699"/>
      <c r="AM476" s="699"/>
      <c r="AN476" s="713"/>
      <c r="AO476" s="708"/>
      <c r="AP476" s="120"/>
    </row>
    <row r="477" spans="2:47" s="128" customFormat="1" x14ac:dyDescent="0.25">
      <c r="B477" s="156"/>
      <c r="H477" s="156"/>
      <c r="I477" s="156"/>
      <c r="J477" s="156"/>
      <c r="O477" s="733"/>
      <c r="P477" s="733"/>
      <c r="Q477" s="696"/>
      <c r="R477" s="696"/>
      <c r="S477" s="696"/>
      <c r="T477" s="729"/>
      <c r="U477" s="739"/>
      <c r="V477" s="696"/>
      <c r="W477" s="696"/>
      <c r="X477" s="696"/>
      <c r="Y477" s="696"/>
      <c r="Z477" s="696"/>
      <c r="AC477" s="120"/>
      <c r="AD477" s="699"/>
      <c r="AE477" s="705"/>
      <c r="AF477" s="705"/>
      <c r="AG477" s="706"/>
      <c r="AH477" s="698"/>
      <c r="AI477" s="120"/>
      <c r="AJ477" s="120"/>
      <c r="AK477" s="699"/>
      <c r="AL477" s="705"/>
      <c r="AM477" s="705"/>
      <c r="AN477" s="706"/>
      <c r="AO477" s="698"/>
      <c r="AP477" s="120"/>
    </row>
    <row r="478" spans="2:47" s="128" customFormat="1" x14ac:dyDescent="0.25">
      <c r="B478" s="156"/>
      <c r="H478" s="156"/>
      <c r="I478" s="156"/>
      <c r="J478" s="156"/>
      <c r="O478" s="733"/>
      <c r="P478" s="733"/>
      <c r="Q478" s="696"/>
      <c r="R478" s="696"/>
      <c r="S478" s="696"/>
      <c r="T478" s="729"/>
      <c r="U478" s="739"/>
      <c r="V478" s="696"/>
      <c r="W478" s="696"/>
      <c r="X478" s="696"/>
      <c r="Y478" s="696"/>
      <c r="Z478" s="696"/>
      <c r="AC478" s="120"/>
      <c r="AD478" s="474"/>
      <c r="AE478" s="228"/>
      <c r="AF478" s="228"/>
      <c r="AG478" s="703"/>
      <c r="AH478" s="698"/>
      <c r="AI478" s="120"/>
      <c r="AJ478" s="120"/>
      <c r="AK478" s="699"/>
      <c r="AL478" s="705"/>
      <c r="AM478" s="705"/>
      <c r="AN478" s="716"/>
      <c r="AO478" s="708"/>
      <c r="AP478" s="120"/>
    </row>
    <row r="479" spans="2:47" s="120" customFormat="1" x14ac:dyDescent="0.25">
      <c r="B479" s="195"/>
      <c r="H479" s="195"/>
      <c r="I479" s="195"/>
      <c r="J479" s="195"/>
      <c r="O479" s="733"/>
      <c r="P479" s="733"/>
      <c r="Q479" s="696"/>
      <c r="R479" s="696"/>
      <c r="S479" s="696"/>
      <c r="T479" s="729"/>
      <c r="U479" s="739"/>
      <c r="V479" s="696"/>
      <c r="W479" s="696"/>
      <c r="X479" s="696"/>
      <c r="Y479" s="696"/>
      <c r="Z479" s="696"/>
      <c r="AC479" s="1119"/>
      <c r="AD479" s="1119"/>
      <c r="AE479" s="1119"/>
      <c r="AF479" s="1119"/>
      <c r="AG479" s="1119"/>
      <c r="AH479" s="1119"/>
      <c r="AI479" s="1119"/>
      <c r="AJ479" s="1119"/>
      <c r="AK479" s="1119"/>
      <c r="AL479" s="1119"/>
      <c r="AM479" s="1119"/>
      <c r="AN479" s="1119"/>
      <c r="AO479" s="1119"/>
      <c r="AP479" s="1119"/>
    </row>
    <row r="480" spans="2:47" s="120" customFormat="1" x14ac:dyDescent="0.25">
      <c r="B480" s="195"/>
      <c r="H480" s="195"/>
      <c r="I480" s="195"/>
      <c r="J480" s="195"/>
      <c r="O480" s="733"/>
      <c r="P480" s="733"/>
      <c r="Q480" s="696"/>
      <c r="R480" s="696"/>
      <c r="S480" s="696"/>
      <c r="T480" s="729"/>
      <c r="U480" s="739"/>
      <c r="V480" s="696"/>
      <c r="W480" s="696"/>
      <c r="X480" s="696"/>
      <c r="Y480" s="696"/>
      <c r="Z480" s="696"/>
      <c r="AD480" s="474"/>
      <c r="AE480" s="705"/>
      <c r="AF480" s="705"/>
      <c r="AG480" s="712"/>
      <c r="AH480" s="698"/>
      <c r="AJ480" s="714"/>
      <c r="AK480" s="699"/>
      <c r="AL480" s="228"/>
      <c r="AM480" s="228"/>
      <c r="AN480" s="260"/>
      <c r="AO480" s="715"/>
      <c r="AP480" s="228"/>
    </row>
    <row r="481" spans="2:42" s="120" customFormat="1" x14ac:dyDescent="0.25">
      <c r="B481" s="195"/>
      <c r="H481" s="195"/>
      <c r="I481" s="195"/>
      <c r="J481" s="195"/>
      <c r="K481" s="733"/>
      <c r="L481" s="733"/>
      <c r="M481" s="733"/>
      <c r="N481" s="733"/>
      <c r="O481" s="733"/>
      <c r="P481" s="733"/>
      <c r="Q481" s="696"/>
      <c r="R481" s="696"/>
      <c r="S481" s="696"/>
      <c r="T481" s="729"/>
      <c r="U481" s="739"/>
      <c r="V481" s="696"/>
      <c r="W481" s="696"/>
      <c r="X481" s="696"/>
      <c r="Y481" s="696"/>
      <c r="Z481" s="696"/>
      <c r="AD481" s="699"/>
      <c r="AE481" s="228"/>
      <c r="AF481" s="228"/>
      <c r="AG481" s="703"/>
      <c r="AH481" s="698"/>
      <c r="AJ481" s="714"/>
      <c r="AK481" s="699"/>
      <c r="AL481" s="699"/>
      <c r="AM481" s="699"/>
      <c r="AN481" s="704"/>
      <c r="AO481" s="710"/>
    </row>
    <row r="482" spans="2:42" s="120" customFormat="1" x14ac:dyDescent="0.25">
      <c r="B482" s="195"/>
      <c r="H482" s="195"/>
      <c r="I482" s="195"/>
      <c r="J482" s="195"/>
      <c r="K482" s="733"/>
      <c r="L482" s="733"/>
      <c r="M482" s="733"/>
      <c r="N482" s="733"/>
      <c r="O482" s="733"/>
      <c r="P482" s="733"/>
      <c r="Q482" s="696"/>
      <c r="R482" s="696"/>
      <c r="S482" s="696"/>
      <c r="T482" s="729"/>
      <c r="U482" s="739"/>
      <c r="V482" s="696"/>
      <c r="W482" s="696"/>
      <c r="X482" s="696"/>
      <c r="Y482" s="696"/>
      <c r="Z482" s="696"/>
      <c r="AC482" s="128"/>
      <c r="AD482" s="474"/>
      <c r="AE482" s="228"/>
      <c r="AF482" s="228"/>
      <c r="AG482" s="703"/>
      <c r="AH482" s="698"/>
      <c r="AI482" s="128"/>
      <c r="AJ482" s="128"/>
      <c r="AK482" s="699"/>
      <c r="AL482" s="228"/>
      <c r="AM482" s="228"/>
      <c r="AN482" s="700"/>
      <c r="AO482" s="710"/>
      <c r="AP482" s="128"/>
    </row>
    <row r="483" spans="2:42" s="120" customFormat="1" x14ac:dyDescent="0.25">
      <c r="B483" s="195"/>
      <c r="D483" s="230"/>
      <c r="E483" s="230"/>
      <c r="G483" s="195"/>
      <c r="H483" s="195"/>
      <c r="I483" s="195"/>
      <c r="J483" s="195"/>
      <c r="K483" s="696"/>
      <c r="L483" s="696"/>
      <c r="M483" s="696"/>
      <c r="N483" s="696"/>
      <c r="O483" s="696"/>
      <c r="P483" s="696"/>
      <c r="Q483" s="696"/>
      <c r="R483" s="696"/>
      <c r="S483" s="696"/>
      <c r="T483" s="729"/>
      <c r="U483" s="739"/>
      <c r="V483" s="696"/>
      <c r="W483" s="696"/>
      <c r="X483" s="696"/>
      <c r="Y483" s="696"/>
      <c r="Z483" s="696"/>
      <c r="AC483" s="1118"/>
      <c r="AD483" s="1118"/>
      <c r="AE483" s="1118"/>
      <c r="AF483" s="1118"/>
      <c r="AG483" s="1118"/>
      <c r="AH483" s="1118"/>
      <c r="AI483" s="1118"/>
      <c r="AJ483" s="1118"/>
      <c r="AK483" s="1118"/>
      <c r="AL483" s="1118"/>
      <c r="AM483" s="1118"/>
      <c r="AN483" s="1118"/>
      <c r="AO483" s="1118"/>
      <c r="AP483" s="1118"/>
    </row>
    <row r="484" spans="2:42" s="120" customFormat="1" x14ac:dyDescent="0.25">
      <c r="B484" s="195"/>
      <c r="D484" s="191"/>
      <c r="E484" s="126"/>
      <c r="G484" s="195"/>
      <c r="H484" s="195"/>
      <c r="I484" s="195"/>
      <c r="J484" s="195"/>
      <c r="K484" s="696"/>
      <c r="L484" s="696"/>
      <c r="M484" s="696"/>
      <c r="N484" s="696"/>
      <c r="O484" s="696"/>
      <c r="P484" s="696"/>
      <c r="Q484" s="696"/>
      <c r="R484" s="696"/>
      <c r="S484" s="696"/>
      <c r="T484" s="729"/>
      <c r="U484" s="739"/>
      <c r="V484" s="696"/>
      <c r="W484" s="696"/>
      <c r="X484" s="696"/>
      <c r="Y484" s="696"/>
      <c r="Z484" s="696"/>
      <c r="AC484" s="1123"/>
      <c r="AD484" s="1123"/>
      <c r="AE484" s="1123"/>
      <c r="AF484" s="1123"/>
      <c r="AG484" s="1123"/>
      <c r="AH484" s="1123"/>
      <c r="AI484" s="1123"/>
      <c r="AJ484" s="1119"/>
      <c r="AK484" s="1119"/>
      <c r="AL484" s="1119"/>
      <c r="AM484" s="1119"/>
      <c r="AN484" s="1119"/>
      <c r="AO484" s="1119"/>
      <c r="AP484" s="1119"/>
    </row>
    <row r="485" spans="2:42" s="120" customFormat="1" x14ac:dyDescent="0.25">
      <c r="B485" s="195"/>
      <c r="D485" s="188"/>
      <c r="E485" s="126"/>
      <c r="F485" s="195"/>
      <c r="G485" s="195"/>
      <c r="H485" s="195"/>
      <c r="I485" s="195"/>
      <c r="J485" s="195"/>
      <c r="K485" s="128"/>
      <c r="L485" s="474"/>
      <c r="M485" s="474"/>
      <c r="N485" s="474"/>
      <c r="O485" s="702"/>
      <c r="P485" s="698"/>
      <c r="Q485" s="156"/>
      <c r="R485" s="128"/>
      <c r="S485" s="474"/>
      <c r="T485" s="474"/>
      <c r="U485" s="474"/>
      <c r="V485" s="474"/>
      <c r="W485" s="474"/>
      <c r="X485" s="702"/>
      <c r="Y485" s="698"/>
      <c r="Z485" s="156"/>
      <c r="AC485" s="128"/>
      <c r="AD485" s="474"/>
      <c r="AE485" s="474"/>
      <c r="AF485" s="474"/>
      <c r="AG485" s="702"/>
      <c r="AH485" s="698"/>
      <c r="AI485" s="156"/>
      <c r="AK485" s="474"/>
      <c r="AL485" s="699"/>
      <c r="AM485" s="699"/>
      <c r="AN485" s="697"/>
      <c r="AO485" s="698"/>
    </row>
    <row r="486" spans="2:42" s="120" customFormat="1" x14ac:dyDescent="0.25">
      <c r="B486" s="195"/>
      <c r="D486" s="228"/>
      <c r="E486" s="126"/>
      <c r="F486" s="195"/>
      <c r="G486" s="195"/>
      <c r="H486" s="195"/>
      <c r="I486" s="195"/>
      <c r="J486" s="195"/>
      <c r="K486" s="128"/>
      <c r="L486" s="474"/>
      <c r="M486" s="228"/>
      <c r="N486" s="228"/>
      <c r="O486" s="707"/>
      <c r="P486" s="698"/>
      <c r="Q486" s="128"/>
      <c r="R486" s="128"/>
      <c r="S486" s="474"/>
      <c r="T486" s="474"/>
      <c r="U486" s="474"/>
      <c r="V486" s="228"/>
      <c r="W486" s="228"/>
      <c r="X486" s="707"/>
      <c r="Y486" s="698"/>
      <c r="Z486" s="128"/>
      <c r="AC486" s="128"/>
      <c r="AD486" s="474"/>
      <c r="AE486" s="228"/>
      <c r="AF486" s="228"/>
      <c r="AG486" s="707"/>
      <c r="AH486" s="698"/>
      <c r="AI486" s="128"/>
      <c r="AK486" s="474"/>
      <c r="AL486" s="228"/>
      <c r="AM486" s="228"/>
      <c r="AN486" s="717"/>
      <c r="AO486" s="698"/>
    </row>
    <row r="487" spans="2:42" s="120" customFormat="1" x14ac:dyDescent="0.25">
      <c r="B487" s="195"/>
      <c r="D487" s="175"/>
      <c r="E487" s="126"/>
      <c r="F487" s="195"/>
      <c r="G487" s="195"/>
      <c r="H487" s="195"/>
      <c r="I487" s="195"/>
      <c r="J487" s="195"/>
      <c r="K487" s="128"/>
      <c r="L487" s="474"/>
      <c r="M487" s="228"/>
      <c r="N487" s="228"/>
      <c r="O487" s="707"/>
      <c r="P487" s="698"/>
      <c r="Q487" s="128"/>
      <c r="R487" s="128"/>
      <c r="S487" s="474"/>
      <c r="T487" s="474"/>
      <c r="U487" s="474"/>
      <c r="V487" s="228"/>
      <c r="W487" s="228"/>
      <c r="X487" s="707"/>
      <c r="Y487" s="698"/>
      <c r="Z487" s="128"/>
      <c r="AC487" s="128"/>
      <c r="AD487" s="474"/>
      <c r="AE487" s="228"/>
      <c r="AF487" s="228"/>
      <c r="AG487" s="707"/>
      <c r="AH487" s="698"/>
      <c r="AI487" s="128"/>
      <c r="AJ487" s="128"/>
      <c r="AK487" s="474"/>
      <c r="AL487" s="228"/>
      <c r="AM487" s="228"/>
      <c r="AN487" s="697"/>
      <c r="AO487" s="698"/>
      <c r="AP487" s="128"/>
    </row>
    <row r="488" spans="2:42" s="120" customFormat="1" x14ac:dyDescent="0.25">
      <c r="B488" s="195"/>
      <c r="D488" s="175"/>
      <c r="E488" s="126"/>
      <c r="F488" s="195"/>
      <c r="G488" s="195"/>
      <c r="H488" s="195"/>
      <c r="I488" s="195"/>
      <c r="J488" s="195"/>
      <c r="K488" s="1119"/>
      <c r="L488" s="1119"/>
      <c r="M488" s="1119"/>
      <c r="N488" s="1119"/>
      <c r="O488" s="1119"/>
      <c r="P488" s="1119"/>
      <c r="Q488" s="1119"/>
      <c r="R488" s="1119"/>
      <c r="S488" s="1119"/>
      <c r="T488" s="1119"/>
      <c r="U488" s="1119"/>
      <c r="V488" s="1119"/>
      <c r="W488" s="1119"/>
      <c r="X488" s="1119"/>
      <c r="Y488" s="1119"/>
      <c r="Z488" s="1119"/>
      <c r="AC488" s="1119"/>
      <c r="AD488" s="1119"/>
      <c r="AE488" s="1119"/>
      <c r="AF488" s="1119"/>
      <c r="AG488" s="1119"/>
      <c r="AH488" s="1119"/>
      <c r="AI488" s="1119"/>
      <c r="AJ488" s="1119"/>
      <c r="AK488" s="1119"/>
      <c r="AL488" s="1119"/>
      <c r="AM488" s="1119"/>
      <c r="AN488" s="1119"/>
      <c r="AO488" s="1119"/>
      <c r="AP488" s="1119"/>
    </row>
    <row r="489" spans="2:42" s="120" customFormat="1" x14ac:dyDescent="0.25">
      <c r="B489" s="195"/>
      <c r="D489" s="175"/>
      <c r="E489" s="126"/>
      <c r="F489" s="195"/>
      <c r="G489" s="195"/>
      <c r="H489" s="195"/>
      <c r="I489" s="195"/>
      <c r="J489" s="195"/>
      <c r="K489" s="720"/>
      <c r="L489" s="699"/>
      <c r="M489" s="699"/>
      <c r="N489" s="699"/>
      <c r="O489" s="711"/>
      <c r="P489" s="698"/>
      <c r="Q489" s="720"/>
      <c r="S489" s="474"/>
      <c r="T489" s="474"/>
      <c r="U489" s="474"/>
      <c r="V489" s="699"/>
      <c r="W489" s="699"/>
      <c r="X489" s="704"/>
      <c r="Y489" s="698"/>
      <c r="AD489" s="699"/>
      <c r="AE489" s="699"/>
      <c r="AF489" s="699"/>
      <c r="AG489" s="711"/>
      <c r="AH489" s="698"/>
      <c r="AK489" s="699"/>
      <c r="AL489" s="699"/>
      <c r="AM489" s="699"/>
      <c r="AN489" s="718"/>
      <c r="AO489" s="698"/>
    </row>
    <row r="490" spans="2:42" s="120" customFormat="1" x14ac:dyDescent="0.25">
      <c r="B490" s="195"/>
      <c r="D490" s="126"/>
      <c r="E490" s="126"/>
      <c r="F490" s="195"/>
      <c r="G490" s="195"/>
      <c r="H490" s="195"/>
      <c r="I490" s="195"/>
      <c r="J490" s="195"/>
      <c r="K490" s="720"/>
      <c r="L490" s="474"/>
      <c r="M490" s="474"/>
      <c r="N490" s="474"/>
      <c r="O490" s="701"/>
      <c r="P490" s="698"/>
      <c r="Q490" s="720"/>
      <c r="R490" s="128"/>
      <c r="S490" s="474"/>
      <c r="T490" s="474"/>
      <c r="U490" s="474"/>
      <c r="V490" s="228"/>
      <c r="W490" s="228"/>
      <c r="X490" s="700"/>
      <c r="Y490" s="698"/>
      <c r="Z490" s="128"/>
      <c r="AD490" s="474"/>
      <c r="AE490" s="705"/>
      <c r="AF490" s="705"/>
      <c r="AG490" s="712"/>
      <c r="AH490" s="698"/>
      <c r="AJ490" s="128"/>
      <c r="AK490" s="474"/>
      <c r="AL490" s="228"/>
      <c r="AM490" s="228"/>
      <c r="AN490" s="669"/>
      <c r="AO490" s="698"/>
      <c r="AP490" s="128"/>
    </row>
    <row r="491" spans="2:42" s="120" customFormat="1" x14ac:dyDescent="0.25">
      <c r="B491" s="195"/>
      <c r="D491" s="126"/>
      <c r="E491" s="126"/>
      <c r="F491" s="195"/>
      <c r="G491" s="195"/>
      <c r="H491" s="195"/>
      <c r="I491" s="195"/>
      <c r="J491" s="195"/>
      <c r="K491" s="720"/>
      <c r="L491" s="474"/>
      <c r="M491" s="474"/>
      <c r="N491" s="474"/>
      <c r="O491" s="701"/>
      <c r="P491" s="698"/>
      <c r="Q491" s="720"/>
      <c r="R491" s="128"/>
      <c r="S491" s="474"/>
      <c r="T491" s="474"/>
      <c r="U491" s="474"/>
      <c r="V491" s="228"/>
      <c r="W491" s="228"/>
      <c r="X491" s="703"/>
      <c r="Y491" s="698"/>
      <c r="Z491" s="128"/>
      <c r="AD491" s="474"/>
      <c r="AE491" s="228"/>
      <c r="AF491" s="228"/>
      <c r="AG491" s="701"/>
      <c r="AH491" s="698"/>
      <c r="AJ491" s="128"/>
      <c r="AK491" s="474"/>
      <c r="AL491" s="228"/>
      <c r="AM491" s="228"/>
      <c r="AN491" s="669"/>
      <c r="AO491" s="698"/>
      <c r="AP491" s="128"/>
    </row>
    <row r="492" spans="2:42" s="120" customFormat="1" x14ac:dyDescent="0.25">
      <c r="B492" s="195"/>
      <c r="D492" s="126"/>
      <c r="E492" s="126"/>
      <c r="F492" s="195"/>
      <c r="G492" s="195"/>
      <c r="H492" s="195"/>
      <c r="I492" s="195"/>
      <c r="J492" s="195"/>
      <c r="K492" s="1119"/>
      <c r="L492" s="1119"/>
      <c r="M492" s="1119"/>
      <c r="N492" s="1119"/>
      <c r="O492" s="1119"/>
      <c r="P492" s="1119"/>
      <c r="Q492" s="1119"/>
      <c r="R492" s="1119"/>
      <c r="S492" s="1119"/>
      <c r="T492" s="1119"/>
      <c r="U492" s="1119"/>
      <c r="V492" s="1119"/>
      <c r="W492" s="1119"/>
      <c r="X492" s="1119"/>
      <c r="Y492" s="1119"/>
      <c r="Z492" s="1119"/>
      <c r="AC492" s="1119"/>
      <c r="AD492" s="1119"/>
      <c r="AE492" s="1119"/>
      <c r="AF492" s="1119"/>
      <c r="AG492" s="1119"/>
      <c r="AH492" s="1119"/>
      <c r="AI492" s="1119"/>
      <c r="AJ492" s="1119"/>
      <c r="AK492" s="1119"/>
      <c r="AL492" s="1119"/>
      <c r="AM492" s="1119"/>
      <c r="AN492" s="1119"/>
      <c r="AO492" s="1119"/>
      <c r="AP492" s="1119"/>
    </row>
    <row r="493" spans="2:42" s="120" customFormat="1" x14ac:dyDescent="0.25">
      <c r="B493" s="195"/>
      <c r="D493" s="126"/>
      <c r="E493" s="126"/>
      <c r="F493" s="195"/>
      <c r="G493" s="195"/>
      <c r="H493" s="195"/>
      <c r="I493" s="195"/>
      <c r="J493" s="195"/>
      <c r="L493" s="699"/>
      <c r="M493" s="705"/>
      <c r="N493" s="705"/>
      <c r="O493" s="704"/>
      <c r="P493" s="710"/>
      <c r="R493" s="714"/>
      <c r="S493" s="699"/>
      <c r="T493" s="699"/>
      <c r="U493" s="699"/>
      <c r="V493" s="228"/>
      <c r="W493" s="228"/>
      <c r="X493" s="260"/>
      <c r="Y493" s="715"/>
      <c r="Z493" s="228"/>
      <c r="AD493" s="699"/>
      <c r="AE493" s="699"/>
      <c r="AF493" s="699"/>
      <c r="AG493" s="704"/>
      <c r="AH493" s="710"/>
      <c r="AK493" s="699"/>
      <c r="AL493" s="699"/>
      <c r="AM493" s="699"/>
      <c r="AN493" s="704"/>
      <c r="AO493" s="698"/>
    </row>
    <row r="494" spans="2:42" s="120" customFormat="1" x14ac:dyDescent="0.25">
      <c r="B494" s="195"/>
      <c r="D494" s="126"/>
      <c r="E494" s="126"/>
      <c r="F494" s="195"/>
      <c r="G494" s="195"/>
      <c r="H494" s="195"/>
      <c r="I494" s="195"/>
      <c r="J494" s="195"/>
      <c r="L494" s="474"/>
      <c r="M494" s="228"/>
      <c r="N494" s="228"/>
      <c r="O494" s="700"/>
      <c r="P494" s="698"/>
      <c r="R494" s="714"/>
      <c r="S494" s="699"/>
      <c r="T494" s="699"/>
      <c r="U494" s="699"/>
      <c r="V494" s="699"/>
      <c r="W494" s="699"/>
      <c r="X494" s="704"/>
      <c r="Y494" s="710"/>
      <c r="AD494" s="474"/>
      <c r="AE494" s="228"/>
      <c r="AF494" s="228"/>
      <c r="AG494" s="717"/>
      <c r="AH494" s="698"/>
      <c r="AK494" s="699"/>
      <c r="AL494" s="705"/>
      <c r="AM494" s="705"/>
      <c r="AN494" s="719"/>
      <c r="AO494" s="698"/>
    </row>
    <row r="495" spans="2:42" s="120" customFormat="1" x14ac:dyDescent="0.25">
      <c r="B495" s="195"/>
      <c r="C495" s="195"/>
      <c r="D495" s="195"/>
      <c r="E495" s="195"/>
      <c r="F495" s="195"/>
      <c r="G495" s="195"/>
      <c r="H495" s="195"/>
      <c r="I495" s="195"/>
      <c r="J495" s="195"/>
      <c r="K495" s="128"/>
      <c r="L495" s="474"/>
      <c r="M495" s="228"/>
      <c r="N495" s="228"/>
      <c r="O495" s="700"/>
      <c r="P495" s="698"/>
      <c r="Q495" s="128"/>
      <c r="R495" s="128"/>
      <c r="S495" s="474"/>
      <c r="T495" s="474"/>
      <c r="U495" s="474"/>
      <c r="V495" s="228"/>
      <c r="W495" s="228"/>
      <c r="X495" s="721"/>
      <c r="Y495" s="698"/>
      <c r="Z495" s="128"/>
      <c r="AC495" s="128"/>
      <c r="AD495" s="474"/>
      <c r="AE495" s="228"/>
      <c r="AF495" s="228"/>
      <c r="AG495" s="701"/>
      <c r="AH495" s="698"/>
      <c r="AI495" s="128"/>
      <c r="AJ495" s="128"/>
      <c r="AK495" s="474"/>
      <c r="AL495" s="228"/>
      <c r="AM495" s="228"/>
      <c r="AN495" s="669"/>
      <c r="AO495" s="698"/>
      <c r="AP495" s="128"/>
    </row>
    <row r="496" spans="2:42" s="120" customFormat="1" x14ac:dyDescent="0.25">
      <c r="B496" s="195"/>
      <c r="C496" s="303">
        <f>0.0157*10</f>
        <v>0.157</v>
      </c>
      <c r="D496" s="121"/>
      <c r="E496" s="121"/>
      <c r="F496" s="121"/>
      <c r="G496" s="195"/>
      <c r="H496" s="195"/>
      <c r="I496" s="195"/>
      <c r="J496" s="195"/>
      <c r="K496" s="1118"/>
      <c r="L496" s="1118"/>
      <c r="M496" s="1118"/>
      <c r="N496" s="1118"/>
      <c r="O496" s="1118"/>
      <c r="P496" s="1118"/>
      <c r="Q496" s="1118"/>
      <c r="R496" s="1118"/>
      <c r="S496" s="1118"/>
      <c r="T496" s="1118"/>
      <c r="U496" s="1118"/>
      <c r="V496" s="1118"/>
      <c r="W496" s="1118"/>
      <c r="X496" s="1118"/>
      <c r="Y496" s="1118"/>
      <c r="Z496" s="1118"/>
    </row>
    <row r="497" spans="2:43" s="120" customFormat="1" ht="13.5" customHeight="1" x14ac:dyDescent="0.25">
      <c r="B497" s="195"/>
      <c r="C497" s="872" t="s">
        <v>143</v>
      </c>
      <c r="D497" s="872"/>
      <c r="E497" s="872"/>
      <c r="F497" s="872"/>
      <c r="G497" s="195"/>
      <c r="H497" s="195"/>
      <c r="I497" s="195"/>
      <c r="J497" s="195"/>
      <c r="K497" s="1123"/>
      <c r="L497" s="1123"/>
      <c r="M497" s="1123"/>
      <c r="N497" s="1123"/>
      <c r="O497" s="1123"/>
      <c r="P497" s="1123"/>
      <c r="Q497" s="1123"/>
      <c r="R497" s="1119"/>
      <c r="S497" s="1119"/>
      <c r="T497" s="1119"/>
      <c r="U497" s="1119"/>
      <c r="V497" s="1119"/>
      <c r="W497" s="1119"/>
      <c r="X497" s="1119"/>
      <c r="Y497" s="1119"/>
      <c r="Z497" s="1119"/>
    </row>
    <row r="498" spans="2:43" s="120" customFormat="1" ht="13.5" customHeight="1" x14ac:dyDescent="0.25">
      <c r="B498" s="195"/>
      <c r="C498" s="195"/>
      <c r="D498" s="195"/>
      <c r="E498" s="195"/>
      <c r="F498" s="195"/>
      <c r="G498" s="195"/>
      <c r="H498" s="195"/>
      <c r="I498" s="195"/>
      <c r="J498" s="195"/>
      <c r="K498" s="128"/>
      <c r="L498" s="474"/>
      <c r="M498" s="474"/>
      <c r="N498" s="474"/>
      <c r="O498" s="702"/>
      <c r="P498" s="698"/>
      <c r="Q498" s="156"/>
      <c r="S498" s="699"/>
      <c r="T498" s="699"/>
      <c r="U498" s="699"/>
      <c r="V498" s="699"/>
      <c r="W498" s="699"/>
      <c r="X498" s="704"/>
      <c r="Y498" s="698"/>
    </row>
    <row r="499" spans="2:43" s="120" customFormat="1" ht="13.5" customHeight="1" x14ac:dyDescent="0.25">
      <c r="B499" s="195"/>
      <c r="C499" s="195"/>
      <c r="D499" s="195"/>
      <c r="E499" s="195"/>
      <c r="F499" s="195"/>
      <c r="G499" s="195"/>
      <c r="H499" s="195"/>
      <c r="I499" s="195"/>
      <c r="J499" s="195"/>
      <c r="K499" s="128"/>
      <c r="L499" s="474"/>
      <c r="M499" s="228"/>
      <c r="N499" s="228"/>
      <c r="O499" s="707"/>
      <c r="P499" s="698"/>
      <c r="Q499" s="128"/>
      <c r="R499" s="128"/>
      <c r="S499" s="699"/>
      <c r="T499" s="699"/>
      <c r="U499" s="699"/>
      <c r="V499" s="228"/>
      <c r="W499" s="228"/>
      <c r="X499" s="700"/>
      <c r="Y499" s="698"/>
      <c r="Z499" s="128"/>
    </row>
    <row r="500" spans="2:43" s="120" customFormat="1" ht="13.5" customHeight="1" x14ac:dyDescent="0.25">
      <c r="B500" s="195"/>
      <c r="C500" s="195"/>
      <c r="D500" s="195"/>
      <c r="E500" s="195"/>
      <c r="F500" s="195"/>
      <c r="G500" s="195"/>
      <c r="H500" s="195"/>
      <c r="I500" s="195"/>
      <c r="J500" s="195"/>
      <c r="K500" s="128"/>
      <c r="L500" s="474"/>
      <c r="M500" s="228"/>
      <c r="N500" s="228"/>
      <c r="O500" s="707"/>
      <c r="P500" s="698"/>
      <c r="Q500" s="128"/>
      <c r="R500" s="128"/>
      <c r="S500" s="474"/>
      <c r="T500" s="474"/>
      <c r="U500" s="474"/>
      <c r="V500" s="228"/>
      <c r="W500" s="228"/>
      <c r="X500" s="697"/>
      <c r="Y500" s="698"/>
      <c r="Z500" s="128"/>
    </row>
    <row r="501" spans="2:43" s="120" customFormat="1" ht="13.5" customHeight="1" x14ac:dyDescent="0.25">
      <c r="B501" s="195"/>
      <c r="C501" s="195"/>
      <c r="D501" s="195"/>
      <c r="E501" s="195"/>
      <c r="F501" s="195"/>
      <c r="G501" s="195"/>
      <c r="H501" s="195"/>
      <c r="I501" s="195"/>
      <c r="J501" s="195"/>
      <c r="K501" s="1119"/>
      <c r="L501" s="1119"/>
      <c r="M501" s="1119"/>
      <c r="N501" s="1119"/>
      <c r="O501" s="1119"/>
      <c r="P501" s="1119"/>
      <c r="Q501" s="1119"/>
      <c r="R501" s="1119"/>
      <c r="S501" s="1119"/>
      <c r="T501" s="1119"/>
      <c r="U501" s="1119"/>
      <c r="V501" s="1119"/>
      <c r="W501" s="1119"/>
      <c r="X501" s="1119"/>
      <c r="Y501" s="1119"/>
      <c r="Z501" s="1119"/>
    </row>
    <row r="502" spans="2:43" s="120" customFormat="1" ht="13.5" customHeight="1" x14ac:dyDescent="0.25">
      <c r="B502" s="195"/>
      <c r="C502" s="195"/>
      <c r="D502" s="195"/>
      <c r="E502" s="195"/>
      <c r="F502" s="195"/>
      <c r="G502" s="195"/>
      <c r="H502" s="195"/>
      <c r="I502" s="195"/>
      <c r="J502" s="195"/>
      <c r="L502" s="699"/>
      <c r="M502" s="699"/>
      <c r="N502" s="699"/>
      <c r="O502" s="711"/>
      <c r="P502" s="698"/>
      <c r="S502" s="474"/>
      <c r="T502" s="474"/>
      <c r="U502" s="474"/>
      <c r="V502" s="699"/>
      <c r="W502" s="699"/>
      <c r="X502" s="704"/>
      <c r="Y502" s="698"/>
    </row>
    <row r="503" spans="2:43" s="120" customFormat="1" ht="13.5" customHeight="1" x14ac:dyDescent="0.25">
      <c r="B503" s="195"/>
      <c r="C503" s="195"/>
      <c r="D503" s="195"/>
      <c r="E503" s="195"/>
      <c r="F503" s="195"/>
      <c r="G503" s="195"/>
      <c r="H503" s="195"/>
      <c r="I503" s="195"/>
      <c r="J503" s="195"/>
      <c r="L503" s="474"/>
      <c r="M503" s="705"/>
      <c r="N503" s="705"/>
      <c r="O503" s="712"/>
      <c r="P503" s="698"/>
      <c r="R503" s="128"/>
      <c r="S503" s="474"/>
      <c r="T503" s="474"/>
      <c r="U503" s="474"/>
      <c r="V503" s="228"/>
      <c r="W503" s="228"/>
      <c r="X503" s="700"/>
      <c r="Y503" s="698"/>
      <c r="Z503" s="128"/>
    </row>
    <row r="504" spans="2:43" s="120" customFormat="1" ht="13.5" customHeight="1" x14ac:dyDescent="0.25">
      <c r="B504" s="195"/>
      <c r="C504" s="195"/>
      <c r="D504" s="195"/>
      <c r="E504" s="195"/>
      <c r="F504" s="195"/>
      <c r="G504" s="195"/>
      <c r="H504" s="195"/>
      <c r="I504" s="195"/>
      <c r="J504" s="195"/>
      <c r="L504" s="474"/>
      <c r="M504" s="228"/>
      <c r="N504" s="228"/>
      <c r="O504" s="701"/>
      <c r="P504" s="698"/>
      <c r="S504" s="474"/>
      <c r="T504" s="474"/>
      <c r="U504" s="474"/>
      <c r="V504" s="228"/>
      <c r="W504" s="228"/>
      <c r="X504" s="703"/>
      <c r="Y504" s="698"/>
    </row>
    <row r="505" spans="2:43" s="120" customFormat="1" ht="12.75" customHeight="1" x14ac:dyDescent="0.25">
      <c r="B505" s="195"/>
      <c r="C505" s="195"/>
      <c r="D505" s="195"/>
      <c r="E505" s="195"/>
      <c r="F505" s="195"/>
      <c r="G505" s="195"/>
      <c r="H505" s="195"/>
      <c r="I505" s="195"/>
      <c r="J505" s="195"/>
      <c r="K505" s="1119"/>
      <c r="L505" s="1119"/>
      <c r="M505" s="1119"/>
      <c r="N505" s="1119"/>
      <c r="O505" s="1119"/>
      <c r="P505" s="1119"/>
      <c r="Q505" s="1119"/>
      <c r="R505" s="1119"/>
      <c r="S505" s="1119"/>
      <c r="T505" s="1119"/>
      <c r="U505" s="1119"/>
      <c r="V505" s="1119"/>
      <c r="W505" s="1119"/>
      <c r="X505" s="1119"/>
      <c r="Y505" s="1119"/>
      <c r="Z505" s="1119"/>
    </row>
    <row r="506" spans="2:43" s="120" customFormat="1" ht="12.75" customHeight="1" x14ac:dyDescent="0.25">
      <c r="B506" s="195"/>
      <c r="C506" s="195"/>
      <c r="D506" s="195"/>
      <c r="E506" s="195"/>
      <c r="F506" s="195"/>
      <c r="G506" s="195"/>
      <c r="H506" s="195"/>
      <c r="I506" s="195"/>
      <c r="J506" s="195"/>
      <c r="L506" s="699"/>
      <c r="M506" s="699"/>
      <c r="N506" s="699"/>
      <c r="O506" s="704"/>
      <c r="P506" s="710"/>
      <c r="S506" s="699"/>
      <c r="T506" s="699"/>
      <c r="U506" s="699"/>
      <c r="V506" s="699"/>
      <c r="W506" s="699"/>
      <c r="X506" s="704"/>
      <c r="Y506" s="698"/>
    </row>
    <row r="507" spans="2:43" s="120" customFormat="1" ht="12.75" customHeight="1" x14ac:dyDescent="0.25">
      <c r="B507" s="195"/>
      <c r="C507" s="195"/>
      <c r="D507" s="195"/>
      <c r="E507" s="195"/>
      <c r="F507" s="195"/>
      <c r="G507" s="195"/>
      <c r="H507" s="195"/>
      <c r="I507" s="195"/>
      <c r="J507" s="195"/>
      <c r="L507" s="474"/>
      <c r="M507" s="228"/>
      <c r="N507" s="228"/>
      <c r="O507" s="717"/>
      <c r="P507" s="698"/>
      <c r="S507" s="699"/>
      <c r="T507" s="699"/>
      <c r="U507" s="699"/>
      <c r="V507" s="705"/>
      <c r="W507" s="705"/>
      <c r="X507" s="706"/>
      <c r="Y507" s="698"/>
    </row>
    <row r="508" spans="2:43" s="120" customFormat="1" ht="12.75" customHeight="1" x14ac:dyDescent="0.25">
      <c r="B508" s="195"/>
      <c r="C508" s="195"/>
      <c r="D508" s="195"/>
      <c r="E508" s="195"/>
      <c r="F508" s="195"/>
      <c r="G508" s="195"/>
      <c r="H508" s="195"/>
      <c r="I508" s="195"/>
      <c r="J508" s="195"/>
      <c r="K508" s="128"/>
      <c r="L508" s="474"/>
      <c r="M508" s="228"/>
      <c r="N508" s="228"/>
      <c r="O508" s="701"/>
      <c r="P508" s="698"/>
      <c r="Q508" s="128"/>
      <c r="R508" s="128"/>
      <c r="S508" s="474"/>
      <c r="T508" s="474"/>
      <c r="U508" s="474"/>
      <c r="V508" s="228"/>
      <c r="W508" s="228"/>
      <c r="X508" s="700"/>
      <c r="Y508" s="698"/>
      <c r="Z508" s="128"/>
    </row>
    <row r="509" spans="2:43" s="120" customFormat="1" ht="12.75" customHeight="1" x14ac:dyDescent="0.25">
      <c r="B509" s="195"/>
      <c r="C509" s="195"/>
      <c r="D509" s="195"/>
      <c r="E509" s="195"/>
      <c r="F509" s="195"/>
      <c r="G509" s="195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  <c r="R509" s="195"/>
      <c r="S509" s="195"/>
      <c r="T509" s="195"/>
      <c r="U509" s="195"/>
    </row>
    <row r="510" spans="2:43" s="120" customFormat="1" ht="12.75" customHeight="1" x14ac:dyDescent="0.25">
      <c r="B510" s="195"/>
      <c r="C510" s="195"/>
      <c r="D510" s="195"/>
      <c r="E510" s="195"/>
      <c r="F510" s="195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</row>
    <row r="511" spans="2:43" s="120" customFormat="1" ht="13.5" customHeight="1" x14ac:dyDescent="0.25">
      <c r="B511" s="195"/>
      <c r="C511" s="195"/>
      <c r="D511" s="195"/>
      <c r="E511" s="195"/>
      <c r="F511" s="195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</row>
    <row r="512" spans="2:43" ht="12.75" customHeight="1" x14ac:dyDescent="0.25">
      <c r="B512" s="195"/>
      <c r="C512" s="195"/>
      <c r="D512" s="195"/>
      <c r="E512" s="195"/>
      <c r="F512" s="195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19"/>
    </row>
    <row r="513" spans="2:42" ht="12.75" customHeight="1" x14ac:dyDescent="0.25">
      <c r="B513" s="195"/>
      <c r="C513" s="195"/>
      <c r="D513" s="195"/>
      <c r="E513" s="195"/>
      <c r="F513" s="195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</row>
    <row r="514" spans="2:42" ht="12.75" customHeight="1" x14ac:dyDescent="0.25">
      <c r="B514" s="195"/>
      <c r="C514" s="195"/>
      <c r="D514" s="195"/>
      <c r="E514" s="195"/>
      <c r="F514" s="195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</row>
    <row r="515" spans="2:42" ht="13.5" customHeight="1" x14ac:dyDescent="0.25">
      <c r="B515" s="195"/>
      <c r="C515" s="195"/>
      <c r="D515" s="195"/>
      <c r="E515" s="195"/>
      <c r="F515" s="195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</row>
    <row r="516" spans="2:42" x14ac:dyDescent="0.25">
      <c r="B516" s="195"/>
      <c r="C516" s="195"/>
      <c r="D516" s="195"/>
      <c r="E516" s="195"/>
      <c r="F516" s="195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</row>
    <row r="517" spans="2:42" x14ac:dyDescent="0.25">
      <c r="B517" s="195"/>
      <c r="C517" s="195"/>
      <c r="D517" s="195"/>
      <c r="E517" s="195"/>
      <c r="F517" s="195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</row>
    <row r="518" spans="2:42" x14ac:dyDescent="0.25">
      <c r="B518" s="195"/>
      <c r="C518" s="195"/>
      <c r="D518" s="195"/>
      <c r="E518" s="195"/>
      <c r="F518" s="195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</row>
    <row r="519" spans="2:42" x14ac:dyDescent="0.25">
      <c r="B519" s="195"/>
      <c r="C519" s="195"/>
      <c r="D519" s="195"/>
      <c r="E519" s="195"/>
      <c r="F519" s="195"/>
      <c r="G519" s="195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</row>
  </sheetData>
  <sheetProtection algorithmName="SHA-512" hashValue="QB918t1j4+Fk4XsSZZDbIcWAHIOPzQxByRUn3xnpRYzfho2x8GyQKRWnk1CGgYXic/7rrK5mAnE/Zomyfl8aaA==" saltValue="SGYuRT4+Ovh4kfIE/bIWrg==" spinCount="100000" sheet="1" objects="1" scenarios="1"/>
  <mergeCells count="156">
    <mergeCell ref="R404:S404"/>
    <mergeCell ref="W418:Y418"/>
    <mergeCell ref="C497:F497"/>
    <mergeCell ref="K496:Z496"/>
    <mergeCell ref="R497:Z497"/>
    <mergeCell ref="K497:Q497"/>
    <mergeCell ref="C443:F444"/>
    <mergeCell ref="G443:G444"/>
    <mergeCell ref="P439:Q439"/>
    <mergeCell ref="R439:S439"/>
    <mergeCell ref="K438:M439"/>
    <mergeCell ref="L441:L442"/>
    <mergeCell ref="M441:M442"/>
    <mergeCell ref="N441:N442"/>
    <mergeCell ref="O441:O442"/>
    <mergeCell ref="G449:G450"/>
    <mergeCell ref="R444:S445"/>
    <mergeCell ref="P444:Q445"/>
    <mergeCell ref="N444:O445"/>
    <mergeCell ref="K444:L445"/>
    <mergeCell ref="M444:M445"/>
    <mergeCell ref="C442:G442"/>
    <mergeCell ref="C440:F441"/>
    <mergeCell ref="G440:G441"/>
    <mergeCell ref="C445:F446"/>
    <mergeCell ref="G445:G446"/>
    <mergeCell ref="C447:F448"/>
    <mergeCell ref="G447:G448"/>
    <mergeCell ref="C449:F450"/>
    <mergeCell ref="K441:K442"/>
    <mergeCell ref="AJ422:AP422"/>
    <mergeCell ref="AC432:AI432"/>
    <mergeCell ref="AJ432:AP432"/>
    <mergeCell ref="K432:M433"/>
    <mergeCell ref="R433:S433"/>
    <mergeCell ref="O431:Q431"/>
    <mergeCell ref="P433:Q433"/>
    <mergeCell ref="C438:F439"/>
    <mergeCell ref="G438:G439"/>
    <mergeCell ref="P438:Q438"/>
    <mergeCell ref="V432:W432"/>
    <mergeCell ref="V439:W439"/>
    <mergeCell ref="P452:S452"/>
    <mergeCell ref="S441:S442"/>
    <mergeCell ref="S435:S436"/>
    <mergeCell ref="R435:R436"/>
    <mergeCell ref="Q435:Q436"/>
    <mergeCell ref="O435:O436"/>
    <mergeCell ref="N435:N436"/>
    <mergeCell ref="M435:M436"/>
    <mergeCell ref="R438:S438"/>
    <mergeCell ref="P441:P442"/>
    <mergeCell ref="Q441:Q442"/>
    <mergeCell ref="R441:R442"/>
    <mergeCell ref="AC454:AI454"/>
    <mergeCell ref="AC488:AI488"/>
    <mergeCell ref="AC484:AI484"/>
    <mergeCell ref="AJ454:AP454"/>
    <mergeCell ref="AJ466:AP466"/>
    <mergeCell ref="K501:Q501"/>
    <mergeCell ref="K505:Q505"/>
    <mergeCell ref="R505:Z505"/>
    <mergeCell ref="R501:Z501"/>
    <mergeCell ref="AC492:AI492"/>
    <mergeCell ref="AJ492:AP492"/>
    <mergeCell ref="AJ488:AP488"/>
    <mergeCell ref="AJ484:AP484"/>
    <mergeCell ref="K488:Q488"/>
    <mergeCell ref="R488:Z488"/>
    <mergeCell ref="K492:Q492"/>
    <mergeCell ref="R492:Z492"/>
    <mergeCell ref="AJ475:AP475"/>
    <mergeCell ref="G24:G25"/>
    <mergeCell ref="AC483:AP483"/>
    <mergeCell ref="AC479:AI479"/>
    <mergeCell ref="AJ479:AP479"/>
    <mergeCell ref="AC417:AP417"/>
    <mergeCell ref="AC404:AP404"/>
    <mergeCell ref="AC449:AP449"/>
    <mergeCell ref="AC418:AI418"/>
    <mergeCell ref="AJ418:AP418"/>
    <mergeCell ref="AJ405:AP405"/>
    <mergeCell ref="AC409:AI409"/>
    <mergeCell ref="AC422:AI422"/>
    <mergeCell ref="AC405:AI405"/>
    <mergeCell ref="AJ409:AP409"/>
    <mergeCell ref="AC413:AI413"/>
    <mergeCell ref="AJ413:AP413"/>
    <mergeCell ref="AC475:AI475"/>
    <mergeCell ref="AC466:AI466"/>
    <mergeCell ref="AC470:AP470"/>
    <mergeCell ref="AC471:AI471"/>
    <mergeCell ref="AJ471:AP471"/>
    <mergeCell ref="AJ445:AP445"/>
    <mergeCell ref="AC450:AI450"/>
    <mergeCell ref="AJ450:AP450"/>
    <mergeCell ref="K404:N404"/>
    <mergeCell ref="K424:L424"/>
    <mergeCell ref="K425:L425"/>
    <mergeCell ref="M423:N423"/>
    <mergeCell ref="N415:N416"/>
    <mergeCell ref="C436:F437"/>
    <mergeCell ref="G436:G437"/>
    <mergeCell ref="O415:O416"/>
    <mergeCell ref="M421:N422"/>
    <mergeCell ref="L435:L436"/>
    <mergeCell ref="K435:K436"/>
    <mergeCell ref="O404:P404"/>
    <mergeCell ref="C8:G9"/>
    <mergeCell ref="C22:E23"/>
    <mergeCell ref="F22:G23"/>
    <mergeCell ref="C38:F39"/>
    <mergeCell ref="G38:G39"/>
    <mergeCell ref="C28:E29"/>
    <mergeCell ref="F28:F29"/>
    <mergeCell ref="G28:G29"/>
    <mergeCell ref="C36:F37"/>
    <mergeCell ref="G36:G37"/>
    <mergeCell ref="C34:F35"/>
    <mergeCell ref="G34:G35"/>
    <mergeCell ref="C30:F31"/>
    <mergeCell ref="G30:G31"/>
    <mergeCell ref="C32:G33"/>
    <mergeCell ref="C12:E15"/>
    <mergeCell ref="C11:E11"/>
    <mergeCell ref="G12:G15"/>
    <mergeCell ref="C16:G17"/>
    <mergeCell ref="C18:D19"/>
    <mergeCell ref="C20:D21"/>
    <mergeCell ref="E18:G19"/>
    <mergeCell ref="E20:G21"/>
    <mergeCell ref="C24:F25"/>
    <mergeCell ref="C42:G42"/>
    <mergeCell ref="C45:G46"/>
    <mergeCell ref="C43:E43"/>
    <mergeCell ref="C404:D404"/>
    <mergeCell ref="E404:F404"/>
    <mergeCell ref="R432:S432"/>
    <mergeCell ref="G404:I406"/>
    <mergeCell ref="C26:F27"/>
    <mergeCell ref="G26:G27"/>
    <mergeCell ref="C40:F41"/>
    <mergeCell ref="G40:G41"/>
    <mergeCell ref="P432:Q432"/>
    <mergeCell ref="C407:D407"/>
    <mergeCell ref="E407:F407"/>
    <mergeCell ref="K42:Q43"/>
    <mergeCell ref="R42:Z43"/>
    <mergeCell ref="O419:O420"/>
    <mergeCell ref="O421:O422"/>
    <mergeCell ref="N417:N418"/>
    <mergeCell ref="Q415:S415"/>
    <mergeCell ref="P414:S414"/>
    <mergeCell ref="K414:L414"/>
    <mergeCell ref="O417:O418"/>
    <mergeCell ref="K431:M431"/>
  </mergeCells>
  <hyperlinks>
    <hyperlink ref="K447" r:id="rId1" display="W%@0% F.R"/>
    <hyperlink ref="W406" r:id="rId2" display="W%@0% F.R"/>
    <hyperlink ref="F22" r:id="rId3"/>
    <hyperlink ref="F43" r:id="rId4"/>
    <hyperlink ref="F22:G23" r:id="rId5" display="www.creditcapable.co.nz/html/gold.html"/>
  </hyperlinks>
  <printOptions horizontalCentered="1" verticalCentered="1"/>
  <pageMargins left="7.874015748031496E-2" right="7.874015748031496E-2" top="7.874015748031496E-2" bottom="7.874015748031496E-2" header="0" footer="0"/>
  <pageSetup paperSize="9" scale="79" orientation="landscape" r:id="rId6"/>
  <headerFooter scaleWithDoc="0" alignWithMargins="0">
    <oddFooter>&amp;L&amp;BCredit Capable Confidential&amp;B&amp;C&amp;D&amp;RPage &amp;P</oddFooter>
  </headerFooter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9" name="Drop Down 1">
              <controlPr locked="0" defaultSize="0" autoLine="0" autoPict="0">
                <anchor moveWithCells="1">
                  <from>
                    <xdr:col>3</xdr:col>
                    <xdr:colOff>228600</xdr:colOff>
                    <xdr:row>17</xdr:row>
                    <xdr:rowOff>60960</xdr:rowOff>
                  </from>
                  <to>
                    <xdr:col>4</xdr:col>
                    <xdr:colOff>480060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10" name="Drop Down 2">
              <controlPr locked="0" defaultSize="0" autoLine="0" autoPict="0">
                <anchor moveWithCells="1">
                  <from>
                    <xdr:col>5</xdr:col>
                    <xdr:colOff>815340</xdr:colOff>
                    <xdr:row>17</xdr:row>
                    <xdr:rowOff>60960</xdr:rowOff>
                  </from>
                  <to>
                    <xdr:col>6</xdr:col>
                    <xdr:colOff>1272540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11" name="Drop Down 3">
              <controlPr locked="0" defaultSize="0" autoLine="0" autoPict="0">
                <anchor moveWithCells="1">
                  <from>
                    <xdr:col>5</xdr:col>
                    <xdr:colOff>815340</xdr:colOff>
                    <xdr:row>19</xdr:row>
                    <xdr:rowOff>30480</xdr:rowOff>
                  </from>
                  <to>
                    <xdr:col>6</xdr:col>
                    <xdr:colOff>1264920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12" name="Drop Down 4">
              <controlPr locked="0" defaultSize="0" autoLine="0" autoPict="0">
                <anchor moveWithCells="1">
                  <from>
                    <xdr:col>3</xdr:col>
                    <xdr:colOff>228600</xdr:colOff>
                    <xdr:row>19</xdr:row>
                    <xdr:rowOff>22860</xdr:rowOff>
                  </from>
                  <to>
                    <xdr:col>4</xdr:col>
                    <xdr:colOff>480060</xdr:colOff>
                    <xdr:row>20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.. How it Works ..</vt:lpstr>
      <vt:lpstr>..  Individual and Business  ..</vt:lpstr>
      <vt:lpstr>'..  Individual and Business  ..'!Print_Area</vt:lpstr>
      <vt:lpstr>'.. How it Works ..'!Print_Area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Processing1</dc:creator>
  <cp:lastModifiedBy>Leon VanKan</cp:lastModifiedBy>
  <cp:lastPrinted>2021-05-31T01:15:33Z</cp:lastPrinted>
  <dcterms:created xsi:type="dcterms:W3CDTF">2008-07-30T00:44:09Z</dcterms:created>
  <dcterms:modified xsi:type="dcterms:W3CDTF">2024-07-10T01:22:59Z</dcterms:modified>
</cp:coreProperties>
</file>